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CathyS\Downloads\"/>
    </mc:Choice>
  </mc:AlternateContent>
  <xr:revisionPtr revIDLastSave="0" documentId="8_{131F618E-3970-46FB-9FA8-691CE0C6D729}" xr6:coauthVersionLast="47" xr6:coauthVersionMax="47" xr10:uidLastSave="{00000000-0000-0000-0000-000000000000}"/>
  <bookViews>
    <workbookView xWindow="14025" yWindow="-15480" windowWidth="19440" windowHeight="15000" tabRatio="913" xr2:uid="{00000000-000D-0000-FFFF-FFFF00000000}"/>
  </bookViews>
  <sheets>
    <sheet name="Introduction" sheetId="3" r:id="rId1"/>
    <sheet name="Production Assumptions" sheetId="12" r:id="rId2"/>
    <sheet name="Personnel Expenses" sheetId="11" r:id="rId3"/>
    <sheet name="Market Projection" sheetId="2" r:id="rId4"/>
    <sheet name="Operating Loan" sheetId="9" r:id="rId5"/>
    <sheet name="Utilities Estimates" sheetId="13" r:id="rId6"/>
    <sheet name="Expense Projection" sheetId="4" r:id="rId7"/>
    <sheet name="Profit &amp; Loss" sheetId="5" r:id="rId8"/>
    <sheet name="Return On Investment" sheetId="7" r:id="rId9"/>
  </sheets>
  <externalReferences>
    <externalReference r:id="rId10"/>
  </externalReferences>
  <definedNames>
    <definedName name="Classification">[1]Facilities!$C$204:$C$210</definedName>
    <definedName name="Onfarm">'Production Assumptions'!$C$219:$C$220</definedName>
    <definedName name="Processing">[1]Facilities!$B$204:$B$210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3" l="1"/>
  <c r="C12" i="13"/>
  <c r="G29" i="12"/>
  <c r="G33" i="12"/>
  <c r="G44" i="12"/>
  <c r="BB12" i="12"/>
  <c r="D15" i="2"/>
  <c r="J29" i="12"/>
  <c r="J33" i="12"/>
  <c r="J44" i="12"/>
  <c r="BB13" i="12"/>
  <c r="D16" i="2"/>
  <c r="M29" i="12"/>
  <c r="M33" i="12"/>
  <c r="M44" i="12"/>
  <c r="BB14" i="12"/>
  <c r="D17" i="2"/>
  <c r="P29" i="12"/>
  <c r="P33" i="12"/>
  <c r="P44" i="12"/>
  <c r="BB15" i="12"/>
  <c r="D18" i="2"/>
  <c r="S29" i="12"/>
  <c r="S33" i="12"/>
  <c r="S44" i="12"/>
  <c r="BB16" i="12"/>
  <c r="D19" i="2"/>
  <c r="V29" i="12"/>
  <c r="V33" i="12"/>
  <c r="V44" i="12"/>
  <c r="BB17" i="12"/>
  <c r="D20" i="2"/>
  <c r="Y29" i="12"/>
  <c r="Y33" i="12"/>
  <c r="Y44" i="12"/>
  <c r="BB18" i="12"/>
  <c r="D21" i="2"/>
  <c r="AB29" i="12"/>
  <c r="AB33" i="12"/>
  <c r="AB44" i="12"/>
  <c r="BB19" i="12"/>
  <c r="D22" i="2"/>
  <c r="AE29" i="12"/>
  <c r="AE33" i="12"/>
  <c r="AE44" i="12"/>
  <c r="BB20" i="12"/>
  <c r="D23" i="2"/>
  <c r="AH29" i="12"/>
  <c r="AH33" i="12"/>
  <c r="AH44" i="12"/>
  <c r="BB21" i="12"/>
  <c r="D24" i="2"/>
  <c r="D26" i="2"/>
  <c r="E14" i="7"/>
  <c r="E20" i="4"/>
  <c r="C109" i="12"/>
  <c r="C110" i="12"/>
  <c r="C111" i="12"/>
  <c r="C112" i="12"/>
  <c r="C113" i="12"/>
  <c r="C114" i="12"/>
  <c r="C115" i="12"/>
  <c r="C116" i="12"/>
  <c r="C117" i="12"/>
  <c r="C118" i="12"/>
  <c r="F28" i="11"/>
  <c r="F18" i="11"/>
  <c r="F20" i="11"/>
  <c r="F22" i="11"/>
  <c r="F24" i="11"/>
  <c r="F26" i="11"/>
  <c r="F30" i="11"/>
  <c r="E12" i="4"/>
  <c r="C13" i="11"/>
  <c r="G28" i="11"/>
  <c r="G18" i="11"/>
  <c r="G20" i="11"/>
  <c r="G22" i="11"/>
  <c r="G24" i="11"/>
  <c r="G26" i="11"/>
  <c r="G30" i="11"/>
  <c r="E13" i="4"/>
  <c r="I28" i="11"/>
  <c r="I18" i="11"/>
  <c r="I20" i="11"/>
  <c r="I22" i="11"/>
  <c r="I24" i="11"/>
  <c r="I26" i="11"/>
  <c r="I30" i="11"/>
  <c r="E14" i="4"/>
  <c r="E16" i="4"/>
  <c r="G23" i="12"/>
  <c r="G38" i="12"/>
  <c r="G40" i="12"/>
  <c r="BB24" i="12"/>
  <c r="D30" i="2"/>
  <c r="J23" i="12"/>
  <c r="J38" i="12"/>
  <c r="J40" i="12"/>
  <c r="BB25" i="12"/>
  <c r="D31" i="2"/>
  <c r="M23" i="12"/>
  <c r="M38" i="12"/>
  <c r="M40" i="12"/>
  <c r="BB26" i="12"/>
  <c r="D32" i="2"/>
  <c r="P23" i="12"/>
  <c r="P38" i="12"/>
  <c r="P40" i="12"/>
  <c r="BB27" i="12"/>
  <c r="D33" i="2"/>
  <c r="S23" i="12"/>
  <c r="S38" i="12"/>
  <c r="S40" i="12"/>
  <c r="BB28" i="12"/>
  <c r="D34" i="2"/>
  <c r="V23" i="12"/>
  <c r="V38" i="12"/>
  <c r="V40" i="12"/>
  <c r="BB29" i="12"/>
  <c r="D35" i="2"/>
  <c r="Y23" i="12"/>
  <c r="Y38" i="12"/>
  <c r="Y40" i="12"/>
  <c r="BB30" i="12"/>
  <c r="D36" i="2"/>
  <c r="AB23" i="12"/>
  <c r="AB38" i="12"/>
  <c r="AB40" i="12"/>
  <c r="BB31" i="12"/>
  <c r="D37" i="2"/>
  <c r="AE23" i="12"/>
  <c r="AE38" i="12"/>
  <c r="AE40" i="12"/>
  <c r="BB32" i="12"/>
  <c r="D38" i="2"/>
  <c r="AH23" i="12"/>
  <c r="AH38" i="12"/>
  <c r="AH40" i="12"/>
  <c r="BB33" i="12"/>
  <c r="D39" i="2"/>
  <c r="D41" i="2"/>
  <c r="E18" i="4"/>
  <c r="E22" i="4"/>
  <c r="C8" i="9"/>
  <c r="C11" i="9"/>
  <c r="E31" i="4"/>
  <c r="E33" i="4"/>
  <c r="E42" i="4"/>
  <c r="E44" i="4"/>
  <c r="E18" i="7"/>
  <c r="E22" i="7"/>
  <c r="E15" i="2"/>
  <c r="E16" i="2"/>
  <c r="E17" i="2"/>
  <c r="E18" i="2"/>
  <c r="E19" i="2"/>
  <c r="E20" i="2"/>
  <c r="E21" i="2"/>
  <c r="E22" i="2"/>
  <c r="E23" i="2"/>
  <c r="E24" i="2"/>
  <c r="E26" i="2"/>
  <c r="F14" i="7"/>
  <c r="F18" i="7"/>
  <c r="F22" i="7"/>
  <c r="F15" i="2"/>
  <c r="F16" i="2"/>
  <c r="F17" i="2"/>
  <c r="F18" i="2"/>
  <c r="F19" i="2"/>
  <c r="F20" i="2"/>
  <c r="F21" i="2"/>
  <c r="F22" i="2"/>
  <c r="F23" i="2"/>
  <c r="F24" i="2"/>
  <c r="F26" i="2"/>
  <c r="G14" i="7"/>
  <c r="F20" i="4"/>
  <c r="F12" i="4"/>
  <c r="F13" i="4"/>
  <c r="F14" i="4"/>
  <c r="F16" i="4"/>
  <c r="E30" i="2"/>
  <c r="E31" i="2"/>
  <c r="E32" i="2"/>
  <c r="E33" i="2"/>
  <c r="E34" i="2"/>
  <c r="E35" i="2"/>
  <c r="E36" i="2"/>
  <c r="E37" i="2"/>
  <c r="E38" i="2"/>
  <c r="E39" i="2"/>
  <c r="E41" i="2"/>
  <c r="F18" i="4"/>
  <c r="F22" i="4"/>
  <c r="F27" i="4"/>
  <c r="F29" i="4"/>
  <c r="D11" i="9"/>
  <c r="F31" i="4"/>
  <c r="F33" i="4"/>
  <c r="F36" i="4"/>
  <c r="F40" i="4"/>
  <c r="F42" i="4"/>
  <c r="F44" i="4"/>
  <c r="G18" i="7"/>
  <c r="G22" i="7"/>
  <c r="G15" i="2"/>
  <c r="G16" i="2"/>
  <c r="G17" i="2"/>
  <c r="G18" i="2"/>
  <c r="G19" i="2"/>
  <c r="G20" i="2"/>
  <c r="G21" i="2"/>
  <c r="G22" i="2"/>
  <c r="G23" i="2"/>
  <c r="G24" i="2"/>
  <c r="G26" i="2"/>
  <c r="H14" i="7"/>
  <c r="G20" i="4"/>
  <c r="G12" i="4"/>
  <c r="G13" i="4"/>
  <c r="G14" i="4"/>
  <c r="G16" i="4"/>
  <c r="F30" i="2"/>
  <c r="F31" i="2"/>
  <c r="F32" i="2"/>
  <c r="F33" i="2"/>
  <c r="F34" i="2"/>
  <c r="F35" i="2"/>
  <c r="F36" i="2"/>
  <c r="F37" i="2"/>
  <c r="F38" i="2"/>
  <c r="F39" i="2"/>
  <c r="F41" i="2"/>
  <c r="G18" i="4"/>
  <c r="G22" i="4"/>
  <c r="G27" i="4"/>
  <c r="G29" i="4"/>
  <c r="E11" i="9"/>
  <c r="G31" i="4"/>
  <c r="G33" i="4"/>
  <c r="G36" i="4"/>
  <c r="G40" i="4"/>
  <c r="G42" i="4"/>
  <c r="G44" i="4"/>
  <c r="H18" i="7"/>
  <c r="H22" i="7"/>
  <c r="H15" i="2"/>
  <c r="H16" i="2"/>
  <c r="H17" i="2"/>
  <c r="H18" i="2"/>
  <c r="H19" i="2"/>
  <c r="H20" i="2"/>
  <c r="H21" i="2"/>
  <c r="H22" i="2"/>
  <c r="H23" i="2"/>
  <c r="H24" i="2"/>
  <c r="H26" i="2"/>
  <c r="I14" i="7"/>
  <c r="H20" i="4"/>
  <c r="H12" i="4"/>
  <c r="H13" i="4"/>
  <c r="H14" i="4"/>
  <c r="H16" i="4"/>
  <c r="G30" i="2"/>
  <c r="G31" i="2"/>
  <c r="G32" i="2"/>
  <c r="G33" i="2"/>
  <c r="G34" i="2"/>
  <c r="G35" i="2"/>
  <c r="G36" i="2"/>
  <c r="G37" i="2"/>
  <c r="G38" i="2"/>
  <c r="G39" i="2"/>
  <c r="G41" i="2"/>
  <c r="H18" i="4"/>
  <c r="H22" i="4"/>
  <c r="H27" i="4"/>
  <c r="H29" i="4"/>
  <c r="F11" i="9"/>
  <c r="H31" i="4"/>
  <c r="H33" i="4"/>
  <c r="H36" i="4"/>
  <c r="H40" i="4"/>
  <c r="H42" i="4"/>
  <c r="H44" i="4"/>
  <c r="I18" i="7"/>
  <c r="I22" i="7"/>
  <c r="I15" i="2"/>
  <c r="I16" i="2"/>
  <c r="I17" i="2"/>
  <c r="I18" i="2"/>
  <c r="I19" i="2"/>
  <c r="I20" i="2"/>
  <c r="I21" i="2"/>
  <c r="I22" i="2"/>
  <c r="I23" i="2"/>
  <c r="I24" i="2"/>
  <c r="I26" i="2"/>
  <c r="J14" i="7"/>
  <c r="I20" i="4"/>
  <c r="I12" i="4"/>
  <c r="I13" i="4"/>
  <c r="I14" i="4"/>
  <c r="I16" i="4"/>
  <c r="H30" i="2"/>
  <c r="H31" i="2"/>
  <c r="H32" i="2"/>
  <c r="H33" i="2"/>
  <c r="H34" i="2"/>
  <c r="H35" i="2"/>
  <c r="H36" i="2"/>
  <c r="H37" i="2"/>
  <c r="H38" i="2"/>
  <c r="H39" i="2"/>
  <c r="H41" i="2"/>
  <c r="I18" i="4"/>
  <c r="I22" i="4"/>
  <c r="I27" i="4"/>
  <c r="I29" i="4"/>
  <c r="G11" i="9"/>
  <c r="I31" i="4"/>
  <c r="I33" i="4"/>
  <c r="I36" i="4"/>
  <c r="I40" i="4"/>
  <c r="I42" i="4"/>
  <c r="I44" i="4"/>
  <c r="J18" i="7"/>
  <c r="J22" i="7"/>
  <c r="J15" i="2"/>
  <c r="J16" i="2"/>
  <c r="J17" i="2"/>
  <c r="J18" i="2"/>
  <c r="J19" i="2"/>
  <c r="J20" i="2"/>
  <c r="J21" i="2"/>
  <c r="J22" i="2"/>
  <c r="J23" i="2"/>
  <c r="J24" i="2"/>
  <c r="J26" i="2"/>
  <c r="K14" i="7"/>
  <c r="J20" i="4"/>
  <c r="J12" i="4"/>
  <c r="J13" i="4"/>
  <c r="J14" i="4"/>
  <c r="J16" i="4"/>
  <c r="I30" i="2"/>
  <c r="I31" i="2"/>
  <c r="I32" i="2"/>
  <c r="I33" i="2"/>
  <c r="I34" i="2"/>
  <c r="I35" i="2"/>
  <c r="I36" i="2"/>
  <c r="I37" i="2"/>
  <c r="I38" i="2"/>
  <c r="I39" i="2"/>
  <c r="I41" i="2"/>
  <c r="J18" i="4"/>
  <c r="J22" i="4"/>
  <c r="J27" i="4"/>
  <c r="J29" i="4"/>
  <c r="H11" i="9"/>
  <c r="J31" i="4"/>
  <c r="J33" i="4"/>
  <c r="J36" i="4"/>
  <c r="J40" i="4"/>
  <c r="J42" i="4"/>
  <c r="J44" i="4"/>
  <c r="K18" i="7"/>
  <c r="K22" i="7"/>
  <c r="K15" i="2"/>
  <c r="K16" i="2"/>
  <c r="K17" i="2"/>
  <c r="K18" i="2"/>
  <c r="K19" i="2"/>
  <c r="K20" i="2"/>
  <c r="K21" i="2"/>
  <c r="K22" i="2"/>
  <c r="K23" i="2"/>
  <c r="K24" i="2"/>
  <c r="K26" i="2"/>
  <c r="L14" i="7"/>
  <c r="K20" i="4"/>
  <c r="K12" i="4"/>
  <c r="K13" i="4"/>
  <c r="K14" i="4"/>
  <c r="K16" i="4"/>
  <c r="J30" i="2"/>
  <c r="J31" i="2"/>
  <c r="J32" i="2"/>
  <c r="J33" i="2"/>
  <c r="J34" i="2"/>
  <c r="J35" i="2"/>
  <c r="J36" i="2"/>
  <c r="J37" i="2"/>
  <c r="J38" i="2"/>
  <c r="J39" i="2"/>
  <c r="J41" i="2"/>
  <c r="K18" i="4"/>
  <c r="K22" i="4"/>
  <c r="K27" i="4"/>
  <c r="K29" i="4"/>
  <c r="I11" i="9"/>
  <c r="K31" i="4"/>
  <c r="K33" i="4"/>
  <c r="K36" i="4"/>
  <c r="K40" i="4"/>
  <c r="K42" i="4"/>
  <c r="K44" i="4"/>
  <c r="L18" i="7"/>
  <c r="L22" i="7"/>
  <c r="L15" i="2"/>
  <c r="L16" i="2"/>
  <c r="L17" i="2"/>
  <c r="L18" i="2"/>
  <c r="L19" i="2"/>
  <c r="L20" i="2"/>
  <c r="L21" i="2"/>
  <c r="L22" i="2"/>
  <c r="L23" i="2"/>
  <c r="L24" i="2"/>
  <c r="L26" i="2"/>
  <c r="M14" i="7"/>
  <c r="L20" i="4"/>
  <c r="L12" i="4"/>
  <c r="L13" i="4"/>
  <c r="L14" i="4"/>
  <c r="L16" i="4"/>
  <c r="K30" i="2"/>
  <c r="K31" i="2"/>
  <c r="K32" i="2"/>
  <c r="K33" i="2"/>
  <c r="K34" i="2"/>
  <c r="K35" i="2"/>
  <c r="K36" i="2"/>
  <c r="K37" i="2"/>
  <c r="K38" i="2"/>
  <c r="K39" i="2"/>
  <c r="K41" i="2"/>
  <c r="L18" i="4"/>
  <c r="L22" i="4"/>
  <c r="L27" i="4"/>
  <c r="L29" i="4"/>
  <c r="J11" i="9"/>
  <c r="L31" i="4"/>
  <c r="L33" i="4"/>
  <c r="L36" i="4"/>
  <c r="L40" i="4"/>
  <c r="L42" i="4"/>
  <c r="L44" i="4"/>
  <c r="M18" i="7"/>
  <c r="M22" i="7"/>
  <c r="M15" i="2"/>
  <c r="M16" i="2"/>
  <c r="M17" i="2"/>
  <c r="M18" i="2"/>
  <c r="M19" i="2"/>
  <c r="M20" i="2"/>
  <c r="M21" i="2"/>
  <c r="M22" i="2"/>
  <c r="M23" i="2"/>
  <c r="M24" i="2"/>
  <c r="M26" i="2"/>
  <c r="N14" i="7"/>
  <c r="M20" i="4"/>
  <c r="M12" i="4"/>
  <c r="M13" i="4"/>
  <c r="M14" i="4"/>
  <c r="M16" i="4"/>
  <c r="L30" i="2"/>
  <c r="L31" i="2"/>
  <c r="L32" i="2"/>
  <c r="L33" i="2"/>
  <c r="L34" i="2"/>
  <c r="L35" i="2"/>
  <c r="L36" i="2"/>
  <c r="L37" i="2"/>
  <c r="L38" i="2"/>
  <c r="L39" i="2"/>
  <c r="L41" i="2"/>
  <c r="M18" i="4"/>
  <c r="M22" i="4"/>
  <c r="M27" i="4"/>
  <c r="M29" i="4"/>
  <c r="K11" i="9"/>
  <c r="M31" i="4"/>
  <c r="M33" i="4"/>
  <c r="M36" i="4"/>
  <c r="M40" i="4"/>
  <c r="M42" i="4"/>
  <c r="M44" i="4"/>
  <c r="N18" i="7"/>
  <c r="N22" i="7"/>
  <c r="D16" i="4"/>
  <c r="D22" i="4"/>
  <c r="D33" i="4"/>
  <c r="D42" i="4"/>
  <c r="D44" i="4"/>
  <c r="D18" i="7"/>
  <c r="D22" i="7"/>
  <c r="E15" i="7"/>
  <c r="E19" i="7"/>
  <c r="E20" i="7"/>
  <c r="F15" i="7"/>
  <c r="F19" i="7"/>
  <c r="F20" i="7"/>
  <c r="G15" i="7"/>
  <c r="G19" i="7"/>
  <c r="G20" i="7"/>
  <c r="H15" i="7"/>
  <c r="H19" i="7"/>
  <c r="H20" i="7"/>
  <c r="I15" i="7"/>
  <c r="I19" i="7"/>
  <c r="I20" i="7"/>
  <c r="J15" i="7"/>
  <c r="J19" i="7"/>
  <c r="J20" i="7"/>
  <c r="K15" i="7"/>
  <c r="K19" i="7"/>
  <c r="K20" i="7"/>
  <c r="L15" i="7"/>
  <c r="L19" i="7"/>
  <c r="L20" i="7"/>
  <c r="M15" i="7"/>
  <c r="M19" i="7"/>
  <c r="M20" i="7"/>
  <c r="N15" i="7"/>
  <c r="N19" i="7"/>
  <c r="N20" i="7"/>
  <c r="D20" i="7"/>
  <c r="L11" i="9"/>
  <c r="F38" i="4"/>
  <c r="G38" i="4"/>
  <c r="H38" i="4"/>
  <c r="I38" i="4"/>
  <c r="J38" i="4"/>
  <c r="K38" i="4"/>
  <c r="L38" i="4"/>
  <c r="M38" i="4"/>
  <c r="N38" i="4"/>
  <c r="N27" i="4"/>
  <c r="N29" i="4"/>
  <c r="N31" i="4"/>
  <c r="N33" i="4"/>
  <c r="AH46" i="12"/>
  <c r="AH47" i="12"/>
  <c r="AE46" i="12"/>
  <c r="AE47" i="12"/>
  <c r="AB46" i="12"/>
  <c r="AB47" i="12"/>
  <c r="Y46" i="12"/>
  <c r="Y47" i="12"/>
  <c r="V46" i="12"/>
  <c r="V47" i="12"/>
  <c r="S46" i="12"/>
  <c r="S47" i="12"/>
  <c r="P46" i="12"/>
  <c r="P47" i="12"/>
  <c r="M46" i="12"/>
  <c r="M47" i="12"/>
  <c r="J46" i="12"/>
  <c r="J47" i="12"/>
  <c r="G46" i="12"/>
  <c r="G47" i="12"/>
  <c r="C17" i="5"/>
  <c r="C16" i="5"/>
  <c r="C18" i="5"/>
  <c r="C20" i="5"/>
  <c r="C22" i="5"/>
  <c r="C41" i="13"/>
  <c r="C18" i="13"/>
  <c r="I23" i="13"/>
  <c r="T20" i="13"/>
  <c r="O34" i="13"/>
  <c r="S20" i="13"/>
  <c r="N34" i="13"/>
  <c r="C20" i="13"/>
  <c r="I25" i="13"/>
  <c r="C19" i="13"/>
  <c r="O19" i="13"/>
  <c r="T18" i="13"/>
  <c r="O32" i="13"/>
  <c r="S18" i="13"/>
  <c r="N32" i="13"/>
  <c r="K18" i="13"/>
  <c r="O18" i="13"/>
  <c r="I24" i="13"/>
  <c r="E24" i="13"/>
  <c r="C42" i="13"/>
  <c r="E23" i="13"/>
  <c r="R18" i="13"/>
  <c r="L32" i="13"/>
  <c r="Q32" i="13"/>
  <c r="Q18" i="13"/>
  <c r="K32" i="13"/>
  <c r="P32" i="13"/>
  <c r="R19" i="13"/>
  <c r="L33" i="13"/>
  <c r="Q19" i="13"/>
  <c r="K33" i="13"/>
  <c r="O20" i="13"/>
  <c r="E25" i="13"/>
  <c r="L35" i="13"/>
  <c r="K35" i="13"/>
  <c r="P35" i="13"/>
  <c r="S19" i="13"/>
  <c r="N33" i="13"/>
  <c r="T19" i="13"/>
  <c r="O33" i="13"/>
  <c r="Q33" i="13"/>
  <c r="P33" i="13"/>
  <c r="R20" i="13"/>
  <c r="L34" i="13"/>
  <c r="Q34" i="13"/>
  <c r="Q20" i="13"/>
  <c r="K34" i="13"/>
  <c r="P34" i="13"/>
  <c r="Q35" i="13"/>
  <c r="Q36" i="13"/>
  <c r="P36" i="13"/>
  <c r="B117" i="12"/>
  <c r="B110" i="12"/>
  <c r="B111" i="12"/>
  <c r="B112" i="12"/>
  <c r="B113" i="12"/>
  <c r="B114" i="12"/>
  <c r="B115" i="12"/>
  <c r="B116" i="12"/>
  <c r="B109" i="12"/>
  <c r="AG4" i="12"/>
  <c r="AD4" i="12"/>
  <c r="M39" i="2"/>
  <c r="AA4" i="12"/>
  <c r="X4" i="12"/>
  <c r="BA13" i="12"/>
  <c r="BA25" i="12"/>
  <c r="BA14" i="12"/>
  <c r="BA26" i="12"/>
  <c r="BA15" i="12"/>
  <c r="BA27" i="12"/>
  <c r="BA16" i="12"/>
  <c r="BA28" i="12"/>
  <c r="BA17" i="12"/>
  <c r="BA29" i="12"/>
  <c r="BA18" i="12"/>
  <c r="BA30" i="12"/>
  <c r="BA19" i="12"/>
  <c r="BA31" i="12"/>
  <c r="BA20" i="12"/>
  <c r="BA32" i="12"/>
  <c r="BA21" i="12"/>
  <c r="BA33" i="12"/>
  <c r="BA12" i="12"/>
  <c r="BA24" i="12"/>
  <c r="B16" i="2"/>
  <c r="B31" i="2"/>
  <c r="B17" i="2"/>
  <c r="B32" i="2"/>
  <c r="B18" i="2"/>
  <c r="B33" i="2"/>
  <c r="B19" i="2"/>
  <c r="B34" i="2"/>
  <c r="B20" i="2"/>
  <c r="B35" i="2"/>
  <c r="B21" i="2"/>
  <c r="B36" i="2"/>
  <c r="B22" i="2"/>
  <c r="B37" i="2"/>
  <c r="B23" i="2"/>
  <c r="B38" i="2"/>
  <c r="B24" i="2"/>
  <c r="B39" i="2"/>
  <c r="B15" i="2"/>
  <c r="B30" i="2"/>
  <c r="B33" i="12"/>
  <c r="B30" i="12"/>
  <c r="B31" i="12"/>
  <c r="B32" i="12"/>
  <c r="C34" i="12"/>
  <c r="M38" i="2"/>
  <c r="M37" i="2"/>
  <c r="B34" i="12"/>
  <c r="B29" i="12"/>
  <c r="B28" i="12"/>
  <c r="B27" i="12"/>
  <c r="B26" i="12"/>
  <c r="B25" i="12"/>
  <c r="B24" i="12"/>
  <c r="U4" i="12"/>
  <c r="R4" i="12"/>
  <c r="O4" i="12"/>
  <c r="L4" i="12"/>
  <c r="I4" i="12"/>
  <c r="F4" i="12"/>
  <c r="M36" i="2"/>
  <c r="C30" i="11"/>
  <c r="D13" i="5"/>
  <c r="J20" i="11"/>
  <c r="J28" i="11"/>
  <c r="J22" i="11"/>
  <c r="N12" i="4"/>
  <c r="M32" i="2"/>
  <c r="M33" i="2"/>
  <c r="M34" i="2"/>
  <c r="M35" i="2"/>
  <c r="M31" i="2"/>
  <c r="J26" i="11"/>
  <c r="J24" i="11"/>
  <c r="N13" i="4"/>
  <c r="N14" i="4"/>
  <c r="J18" i="11"/>
  <c r="J30" i="11"/>
  <c r="N20" i="4"/>
  <c r="D18" i="5"/>
  <c r="N40" i="4"/>
  <c r="D16" i="7"/>
  <c r="E18" i="5"/>
  <c r="F18" i="5"/>
  <c r="C24" i="5"/>
  <c r="C26" i="5"/>
  <c r="E16" i="7"/>
  <c r="G18" i="5"/>
  <c r="H18" i="5"/>
  <c r="F16" i="7"/>
  <c r="E13" i="5"/>
  <c r="I18" i="5"/>
  <c r="D16" i="5"/>
  <c r="G16" i="7"/>
  <c r="F13" i="5"/>
  <c r="J18" i="5"/>
  <c r="E16" i="5"/>
  <c r="H16" i="7"/>
  <c r="G13" i="5"/>
  <c r="K18" i="5"/>
  <c r="F16" i="5"/>
  <c r="M30" i="2"/>
  <c r="M41" i="2"/>
  <c r="I16" i="7"/>
  <c r="H13" i="5"/>
  <c r="N36" i="4"/>
  <c r="N42" i="4"/>
  <c r="M18" i="5"/>
  <c r="L18" i="5"/>
  <c r="G16" i="5"/>
  <c r="J16" i="7"/>
  <c r="I13" i="5"/>
  <c r="D23" i="7"/>
  <c r="H16" i="5"/>
  <c r="I16" i="5"/>
  <c r="L16" i="7"/>
  <c r="K13" i="5"/>
  <c r="K16" i="7"/>
  <c r="J13" i="5"/>
  <c r="N18" i="4"/>
  <c r="J16" i="5"/>
  <c r="M16" i="7"/>
  <c r="L13" i="5"/>
  <c r="D17" i="5"/>
  <c r="D20" i="5"/>
  <c r="K16" i="5"/>
  <c r="N16" i="4"/>
  <c r="N22" i="4"/>
  <c r="D22" i="5"/>
  <c r="D24" i="5"/>
  <c r="D26" i="5"/>
  <c r="N16" i="7"/>
  <c r="C25" i="7"/>
  <c r="M13" i="5"/>
  <c r="M16" i="5"/>
  <c r="L16" i="5"/>
  <c r="E23" i="7"/>
  <c r="F23" i="7"/>
  <c r="E17" i="5"/>
  <c r="E20" i="5"/>
  <c r="E22" i="5"/>
  <c r="E24" i="5"/>
  <c r="E26" i="5"/>
  <c r="F17" i="5"/>
  <c r="F20" i="5"/>
  <c r="G23" i="7"/>
  <c r="F22" i="5"/>
  <c r="F24" i="5"/>
  <c r="F26" i="5"/>
  <c r="G17" i="5"/>
  <c r="G20" i="5"/>
  <c r="H23" i="7"/>
  <c r="G22" i="5"/>
  <c r="G24" i="5"/>
  <c r="G26" i="5"/>
  <c r="H17" i="5"/>
  <c r="H20" i="5"/>
  <c r="I23" i="7"/>
  <c r="H22" i="5"/>
  <c r="H24" i="5"/>
  <c r="H26" i="5"/>
  <c r="I17" i="5"/>
  <c r="I20" i="5"/>
  <c r="I22" i="5"/>
  <c r="J23" i="7"/>
  <c r="I24" i="5"/>
  <c r="I26" i="5"/>
  <c r="K23" i="7"/>
  <c r="J17" i="5"/>
  <c r="J20" i="5"/>
  <c r="J22" i="5"/>
  <c r="J24" i="5"/>
  <c r="J26" i="5"/>
  <c r="K17" i="5"/>
  <c r="K20" i="5"/>
  <c r="L23" i="7"/>
  <c r="K22" i="5"/>
  <c r="K24" i="5"/>
  <c r="K26" i="5"/>
  <c r="L17" i="5"/>
  <c r="L20" i="5"/>
  <c r="L22" i="5"/>
  <c r="L24" i="5"/>
  <c r="L26" i="5"/>
  <c r="M23" i="7"/>
  <c r="N44" i="4"/>
  <c r="M17" i="5"/>
  <c r="M20" i="5"/>
  <c r="M22" i="5"/>
  <c r="M24" i="5"/>
  <c r="M26" i="5"/>
  <c r="N23" i="7"/>
  <c r="C26" i="7"/>
  <c r="C27" i="7"/>
  <c r="C28" i="7"/>
</calcChain>
</file>

<file path=xl/sharedStrings.xml><?xml version="1.0" encoding="utf-8"?>
<sst xmlns="http://schemas.openxmlformats.org/spreadsheetml/2006/main" count="524" uniqueCount="274">
  <si>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</si>
  <si>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</si>
  <si>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</si>
  <si>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</si>
  <si>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</si>
  <si>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</si>
  <si>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</si>
  <si>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</si>
  <si>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</si>
  <si>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</si>
  <si>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Short Term Interest Rate</t>
  </si>
  <si>
    <t>Interest Amount</t>
  </si>
  <si>
    <t>Total Interest Expense</t>
  </si>
  <si>
    <t>Labor</t>
  </si>
  <si>
    <t>Occupation</t>
  </si>
  <si>
    <t>Salary</t>
  </si>
  <si>
    <t>Overtime</t>
  </si>
  <si>
    <t>Benefits</t>
  </si>
  <si>
    <t>Salaries</t>
  </si>
  <si>
    <t>Benefits as % of Salaries</t>
  </si>
  <si>
    <t>% of Payroll Tax to Salaries</t>
  </si>
  <si>
    <t>% of Retirement Tax to Salaries</t>
  </si>
  <si>
    <t>Total Labor</t>
  </si>
  <si>
    <t>Variable</t>
  </si>
  <si>
    <t>Utilities</t>
  </si>
  <si>
    <t>Total Variable</t>
  </si>
  <si>
    <t>Fixed</t>
  </si>
  <si>
    <t>Insurance</t>
  </si>
  <si>
    <t>Supplies</t>
  </si>
  <si>
    <t>Other</t>
  </si>
  <si>
    <t>Total Other</t>
  </si>
  <si>
    <t>Total Fixed</t>
  </si>
  <si>
    <t>Total Expenses</t>
  </si>
  <si>
    <t>Total</t>
  </si>
  <si>
    <t>Expenses</t>
  </si>
  <si>
    <t>Gross Margin</t>
  </si>
  <si>
    <t>Discount Factor</t>
  </si>
  <si>
    <t>PV of Income</t>
  </si>
  <si>
    <t>Total Expense</t>
  </si>
  <si>
    <t>PV of Expenses</t>
  </si>
  <si>
    <t>Benefits Less Costs</t>
  </si>
  <si>
    <t>Net Present Value</t>
  </si>
  <si>
    <t>Year</t>
  </si>
  <si>
    <t>Wage Inflation</t>
  </si>
  <si>
    <t>Payroll Information</t>
  </si>
  <si>
    <t>Income Tax Rate</t>
  </si>
  <si>
    <t>Overtime%</t>
  </si>
  <si>
    <t>Product Name</t>
  </si>
  <si>
    <t>Production Expenses</t>
  </si>
  <si>
    <t>Total PV of Income</t>
  </si>
  <si>
    <t>Total PV of Expenses</t>
  </si>
  <si>
    <t>PV Benefits Less PV Costs</t>
  </si>
  <si>
    <t xml:space="preserve">This sheet summaries the volume and price and sales growth information from the input page.  There is no input on this page.  </t>
  </si>
  <si>
    <t>Before Tax Profit</t>
  </si>
  <si>
    <t>Tax</t>
  </si>
  <si>
    <t>Developed by:</t>
  </si>
  <si>
    <t>Developed for:</t>
  </si>
  <si>
    <t>For comments or suggestions contact:</t>
  </si>
  <si>
    <t>This sheet summaries the feasibility of the project.  It provides net present value, benefit cost ratio and internal rate of return</t>
  </si>
  <si>
    <t>PV Benefit/PV Cost Ratio</t>
  </si>
  <si>
    <t>% of Employee INS Tax to Salaries</t>
  </si>
  <si>
    <t>Gross Sales Projection</t>
  </si>
  <si>
    <t>Gross Sales</t>
  </si>
  <si>
    <t>TOTAL GROSS SALES</t>
  </si>
  <si>
    <t>Miscellaneous*</t>
  </si>
  <si>
    <t>PERSONNEL EXPENSES</t>
  </si>
  <si>
    <t>No. of Persons</t>
  </si>
  <si>
    <t>Total Salaries</t>
  </si>
  <si>
    <t>Total Personnel Costs</t>
  </si>
  <si>
    <t>NCAT</t>
  </si>
  <si>
    <t>Rodney B. Holcomb &amp; Timothy J. Bowser - FoodMech, LLC</t>
  </si>
  <si>
    <t>The template can be modified with assistance from FoodMech, LLC.</t>
  </si>
  <si>
    <t>INGREDIENTS &amp; OTHER VARIABLE COSTS</t>
  </si>
  <si>
    <t>$$$/Batch</t>
  </si>
  <si>
    <t>Yes</t>
  </si>
  <si>
    <t>No</t>
  </si>
  <si>
    <t>Water</t>
  </si>
  <si>
    <t>Annual Production Capacity %</t>
  </si>
  <si>
    <t>Total Ingredients Costs per Processing Batch</t>
  </si>
  <si>
    <t>Units (jars, packages, etc.) Produced per Batch</t>
  </si>
  <si>
    <t>Batches per Day (assume all-day production)</t>
  </si>
  <si>
    <t>Total Packaging Costs per Unit of Product</t>
  </si>
  <si>
    <t>(includes all packaging and label costs)</t>
  </si>
  <si>
    <t>Cost of Goods Sold (COGS) per Unit</t>
  </si>
  <si>
    <t>Average Selling Price</t>
  </si>
  <si>
    <t>Gross Margin per Day of Production</t>
  </si>
  <si>
    <t>PRODUCTION ASSUMPTIONS</t>
  </si>
  <si>
    <t>COGS per Day of Production</t>
  </si>
  <si>
    <t>Days of Production per Year</t>
  </si>
  <si>
    <t>Shrink/Waste/Give-Aways (% of production)</t>
  </si>
  <si>
    <t>Units Produced per Day</t>
  </si>
  <si>
    <t>Units Available for Sale per Day of Production</t>
  </si>
  <si>
    <t>Gross Revenue from One Day's Production</t>
  </si>
  <si>
    <t>(assume 100% plant utilization)</t>
  </si>
  <si>
    <t>Year 1 Production</t>
  </si>
  <si>
    <t>Sales</t>
  </si>
  <si>
    <t>COGS</t>
  </si>
  <si>
    <t xml:space="preserve">Year 1 Capacity Utilization </t>
  </si>
  <si>
    <t>TOTAL COGS</t>
  </si>
  <si>
    <t>Cost of Goods Sold</t>
  </si>
  <si>
    <t>Revenue</t>
  </si>
  <si>
    <t>If you choose to modify the template, we are willing to help you identify the necessary/corresponding changes in production.</t>
  </si>
  <si>
    <t>Hours of Production per Day</t>
  </si>
  <si>
    <t>$/Hour</t>
  </si>
  <si>
    <t>Production Staff</t>
  </si>
  <si>
    <t>Cooking/Kitchen</t>
  </si>
  <si>
    <t>Packaging/Labeling</t>
  </si>
  <si>
    <t>Production Staff - Base Annual Wages</t>
  </si>
  <si>
    <t>Total Production Staff - Annual Wages</t>
  </si>
  <si>
    <t>Production Staff (from 'Production Assumptions')</t>
  </si>
  <si>
    <t>People/Day</t>
  </si>
  <si>
    <t>Discount Rate for NPV</t>
  </si>
  <si>
    <t>COMMERCIAL KITCHEN ENERGY &amp; UTILITY COST ESTIMATE</t>
  </si>
  <si>
    <t>PER DAY ENERGY &amp; UTILITY COST ESTIMATE</t>
  </si>
  <si>
    <t>Process</t>
  </si>
  <si>
    <t>Amount</t>
  </si>
  <si>
    <t>Amount calculation</t>
  </si>
  <si>
    <t>Energy</t>
  </si>
  <si>
    <t>Gas</t>
  </si>
  <si>
    <t>Electric</t>
  </si>
  <si>
    <t>Sewer</t>
  </si>
  <si>
    <t>Dehydration</t>
  </si>
  <si>
    <t>lb/day raw</t>
  </si>
  <si>
    <t>33 trays x 2 lb per tray x 6 racks</t>
  </si>
  <si>
    <t>BTU/lb</t>
  </si>
  <si>
    <t>lb water</t>
  </si>
  <si>
    <t>efficiency</t>
  </si>
  <si>
    <t>BTU</t>
  </si>
  <si>
    <t>Canning</t>
  </si>
  <si>
    <t>16 oz cans per day</t>
  </si>
  <si>
    <t>3 per min x 60 x 8</t>
  </si>
  <si>
    <t>lb water/can</t>
  </si>
  <si>
    <t>Baking</t>
  </si>
  <si>
    <t>lb/day raw dough</t>
  </si>
  <si>
    <t>3 batch per hour x 20 lb x 8</t>
  </si>
  <si>
    <t>lb water/lb dough</t>
  </si>
  <si>
    <t>Water use</t>
  </si>
  <si>
    <t>gallons/month</t>
  </si>
  <si>
    <t>Sewer use</t>
  </si>
  <si>
    <t>gallon/lb raw</t>
  </si>
  <si>
    <t xml:space="preserve">Canning </t>
  </si>
  <si>
    <t>gallon/16 oz can</t>
  </si>
  <si>
    <t>gallon/lb raw dough</t>
  </si>
  <si>
    <t>Building energy (to operate, less process)</t>
  </si>
  <si>
    <t>Use estimator from:  http://c04.apogee.net/calcs/comcalc/resultspage.aspx?utilid=pec</t>
  </si>
  <si>
    <t>Inputs are highlighted in green</t>
  </si>
  <si>
    <t>Assume building type is "full service restaurant"</t>
  </si>
  <si>
    <t>heat:  gas</t>
  </si>
  <si>
    <t>Size of facility</t>
  </si>
  <si>
    <t>Sq ft</t>
  </si>
  <si>
    <t>Cooling:  electric</t>
  </si>
  <si>
    <t>GAS</t>
  </si>
  <si>
    <t>ELECTRIC</t>
  </si>
  <si>
    <t>WATER</t>
  </si>
  <si>
    <t>SEWER</t>
  </si>
  <si>
    <t>w/GAS</t>
  </si>
  <si>
    <t>w/ELECTRIC</t>
  </si>
  <si>
    <t>Lighting:  2.5 watts/sq ft</t>
  </si>
  <si>
    <t>Water heat:  gas</t>
  </si>
  <si>
    <t>Canning process</t>
  </si>
  <si>
    <t>Double pane windows</t>
  </si>
  <si>
    <t>Cooking equipment:  gas</t>
  </si>
  <si>
    <t>Building energy</t>
  </si>
  <si>
    <t>Refrigeration:  equipment present</t>
  </si>
  <si>
    <t>Days of process operation "X"</t>
  </si>
  <si>
    <t>GRAND TOTALS:</t>
  </si>
  <si>
    <t>Location:  Near Austin, Texas</t>
  </si>
  <si>
    <t>Electric cost</t>
  </si>
  <si>
    <t>Annual</t>
  </si>
  <si>
    <t>Gas cost</t>
  </si>
  <si>
    <t>Building operation</t>
  </si>
  <si>
    <t>$/sq ft</t>
  </si>
  <si>
    <t>Estimated annual cost per square foot</t>
  </si>
  <si>
    <t>* Process utilities are either electric or gas, not both</t>
  </si>
  <si>
    <t>UTILITY RATES</t>
  </si>
  <si>
    <t>per CCF</t>
  </si>
  <si>
    <t>(CCF = 100,000 BTU)</t>
  </si>
  <si>
    <t>REF:  CPS Energy</t>
  </si>
  <si>
    <t>$/kW hr</t>
  </si>
  <si>
    <t>REF:  Pedernales electric coop</t>
  </si>
  <si>
    <t>Water/sewer</t>
  </si>
  <si>
    <t>REF:</t>
  </si>
  <si>
    <t>SAWS (San Antonia Water &amp; Sewer</t>
  </si>
  <si>
    <t>BOD fee ($ per BODmg/l)</t>
  </si>
  <si>
    <t>$ Monthly service inside city, 1" line</t>
  </si>
  <si>
    <t>$ Average monthly volume charge, inside city, per 100 gal</t>
  </si>
  <si>
    <t>Base sewer availability charge for 1" meter size in city</t>
  </si>
  <si>
    <t>$ per 100 gallons between 1,496 and 2,992</t>
  </si>
  <si>
    <t>$ per 100 gallons over 2,992</t>
  </si>
  <si>
    <t>per month base</t>
  </si>
  <si>
    <t>$/mo. FOG fee</t>
  </si>
  <si>
    <t>TSS fee ($ / mg/l)</t>
  </si>
  <si>
    <t>Fire protection fee ($/yr in city)</t>
  </si>
  <si>
    <t>Production Assumptions</t>
  </si>
  <si>
    <t>Personnel Expenses</t>
  </si>
  <si>
    <t>Market Projection</t>
  </si>
  <si>
    <t>Expense Projection</t>
  </si>
  <si>
    <t>Profit/Loss Summary</t>
  </si>
  <si>
    <t>Return on Investment</t>
  </si>
  <si>
    <t>Go to:</t>
  </si>
  <si>
    <t>MARKET PROJECTION: SALES &amp; COGS BY YEAR</t>
  </si>
  <si>
    <t>EXPENSE PROJECTION</t>
  </si>
  <si>
    <t>PROFIT/LOSS SUMMARY</t>
  </si>
  <si>
    <t>RETURN ON INVESTMENT</t>
  </si>
  <si>
    <t>(all subsequent years presumably at 100%)</t>
  </si>
  <si>
    <r>
      <rPr>
        <b/>
        <u/>
        <sz val="13"/>
        <rFont val="Arial"/>
        <family val="2"/>
      </rPr>
      <t>Production Assumptions</t>
    </r>
    <r>
      <rPr>
        <b/>
        <sz val="13"/>
        <rFont val="Arial"/>
        <family val="2"/>
      </rPr>
      <t>:  Values associated with the production of food products in the facility, including recipes, yield per processing batch, packaging/labels expenses, and production labor.</t>
    </r>
  </si>
  <si>
    <r>
      <rPr>
        <b/>
        <u/>
        <sz val="13"/>
        <rFont val="Arial"/>
        <family val="2"/>
      </rPr>
      <t>Personnel Expenses</t>
    </r>
    <r>
      <rPr>
        <b/>
        <sz val="13"/>
        <rFont val="Arial"/>
        <family val="2"/>
      </rPr>
      <t>: Salaried employees (all other employees not listed as production labor) and information on payroll taxes, benefits, wage inflation, etc.</t>
    </r>
  </si>
  <si>
    <r>
      <rPr>
        <b/>
        <u/>
        <sz val="13"/>
        <rFont val="Arial"/>
        <family val="2"/>
      </rPr>
      <t>Market Projection</t>
    </r>
    <r>
      <rPr>
        <b/>
        <sz val="13"/>
        <rFont val="Arial"/>
        <family val="2"/>
      </rPr>
      <t>:  Expected plant capacity utilization in Year 1 (presumably 100% after Year 1) and expected output price inflation rate.</t>
    </r>
  </si>
  <si>
    <r>
      <rPr>
        <b/>
        <u/>
        <sz val="13"/>
        <rFont val="Arial"/>
        <family val="2"/>
      </rPr>
      <t>Profit/Loss Summary</t>
    </r>
    <r>
      <rPr>
        <b/>
        <sz val="13"/>
        <rFont val="Arial"/>
        <family val="2"/>
      </rPr>
      <t>:  The only entry on this tab is for income tax rate.</t>
    </r>
  </si>
  <si>
    <r>
      <rPr>
        <b/>
        <u/>
        <sz val="13"/>
        <rFont val="Arial"/>
        <family val="2"/>
      </rPr>
      <t>Return on Investment</t>
    </r>
    <r>
      <rPr>
        <b/>
        <sz val="13"/>
        <rFont val="Arial"/>
        <family val="2"/>
      </rPr>
      <t>: The only entry on this tab is the discount rate used for Net Present Value calculations.</t>
    </r>
  </si>
  <si>
    <t>Startup</t>
  </si>
  <si>
    <t>Shaded cells are for entering notes on assumptions/sources of expenses.</t>
  </si>
  <si>
    <t>Tim Bowser, tim@foodmech.com 405-269-2486</t>
  </si>
  <si>
    <t>Rodney Holcomb, rodney@foodmech.com, 405-612-8583</t>
  </si>
  <si>
    <t>Electricity</t>
  </si>
  <si>
    <t>Solid Waste Disposal</t>
  </si>
  <si>
    <t>Telephone &amp; Internet</t>
  </si>
  <si>
    <t>Total Annual Utilities</t>
  </si>
  <si>
    <t>Enter Product 3 Name Here</t>
  </si>
  <si>
    <t>Enter Product 4 Name Here</t>
  </si>
  <si>
    <t>Enter Product 5 Name Here</t>
  </si>
  <si>
    <t>Enter Product 6 Name Here</t>
  </si>
  <si>
    <t>and</t>
  </si>
  <si>
    <t>Notes:</t>
  </si>
  <si>
    <t>(create estimates here)</t>
  </si>
  <si>
    <t>Equip. Replacement Fund</t>
  </si>
  <si>
    <t>Budgeted PP&amp;E Maintenance</t>
  </si>
  <si>
    <t>Interest Expense</t>
  </si>
  <si>
    <t>Working Capital*</t>
  </si>
  <si>
    <t>*(annual operating loan, paid back during the same year)</t>
  </si>
  <si>
    <t>HELPFUL MODULES FOR ESTIMATING UTILITY EXPENSES:</t>
  </si>
  <si>
    <t>Assume energy costs are solely for facility and product.</t>
  </si>
  <si>
    <t>After Tax Profit*</t>
  </si>
  <si>
    <t>*With no capital investment, profits approximate annual cash flows.)</t>
  </si>
  <si>
    <r>
      <rPr>
        <b/>
        <u/>
        <sz val="13"/>
        <rFont val="Arial"/>
        <family val="2"/>
      </rPr>
      <t>Expense Projection</t>
    </r>
    <r>
      <rPr>
        <b/>
        <sz val="13"/>
        <rFont val="Arial"/>
        <family val="2"/>
      </rPr>
      <t>:  Lease, insurance, utilities, maintenance, interest, start-up and annual supplies and miscellaneous expenses, equipment replacement fund, and expense inflation rate.</t>
    </r>
  </si>
  <si>
    <t>Facility Lease (Yearly)</t>
  </si>
  <si>
    <t>Gross Margin as % of Gross Revenue</t>
  </si>
  <si>
    <t>ENERGY COST ESTIMATES for X DAYS OF OPERATION (GAS vs. ELECTRICITY)</t>
  </si>
  <si>
    <t>PROCESS TOTALS*</t>
  </si>
  <si>
    <t>Shaded cells are for numerical inputs.</t>
  </si>
  <si>
    <t>Enter Product 7 Name Here</t>
  </si>
  <si>
    <t>Enter Product 8 Name Here</t>
  </si>
  <si>
    <t>Enter Product 9 Name Here</t>
  </si>
  <si>
    <t>Enter Product 10 Name Here</t>
  </si>
  <si>
    <t>These worksheets provide estimates for discussion purposes only.  Check your own data to be sure that your results make sense for your situation.</t>
  </si>
  <si>
    <r>
      <rPr>
        <b/>
        <u/>
        <sz val="13"/>
        <rFont val="Arial"/>
        <family val="2"/>
      </rPr>
      <t>Disclaimer</t>
    </r>
    <r>
      <rPr>
        <b/>
        <sz val="13"/>
        <rFont val="Arial"/>
        <family val="2"/>
      </rPr>
      <t>: This decision-making template helps you compare "what if" scenarios by entering your own numbers and assumptions.  We have made the templates as user-friendly as possible,</t>
    </r>
  </si>
  <si>
    <t>but you do need basic familiarity with Microsoft Excel.  All results are approximate and should be treated with caution.  Even small errors in your assumptions can lead to highly</t>
  </si>
  <si>
    <t>misleading conclusions.  While every precaution has been taken in preparing this template, neither NCAT, nor the authors, nor the funders assume any liability for any loss or damage</t>
  </si>
  <si>
    <t>caused or alleged to be caused, directly or indirectly, to any person or entity by the use of this template.</t>
  </si>
  <si>
    <t>To protect the many formulas in the model, you can only access the shaded cells:</t>
  </si>
  <si>
    <t>To get started go to one of the tab links below.  Your input is required on each of the following tabs:</t>
  </si>
  <si>
    <t>NCAT Financial Analysis Model: Commercial Kitchen, Long-Term Lease</t>
  </si>
  <si>
    <t>Utilities Estimates</t>
  </si>
  <si>
    <t xml:space="preserve">*Output price inflation rate is typically less than or equal </t>
  </si>
  <si>
    <t>to the Expense Inflation Rate on the 'Expense Projection' tab.</t>
  </si>
  <si>
    <t>Annual Product Price Inflation Rate*</t>
  </si>
  <si>
    <t>Sauerkraut</t>
  </si>
  <si>
    <t>Cabbage (#1, 35 lbs)</t>
  </si>
  <si>
    <t>Salt</t>
  </si>
  <si>
    <t>Cabbage (#2, 35 lbs)</t>
  </si>
  <si>
    <t>* Miscellaneous expenses may include legal fees, licenses, permits and other organizational expenses -- both for startup and for annual operations (Year 1).</t>
  </si>
  <si>
    <t xml:space="preserve">                     Go to:</t>
  </si>
  <si>
    <t>Projected Annual Utilities (use estimation modules below or enter your own estimates)</t>
  </si>
  <si>
    <t>Annual Expense Inflation Rate*</t>
  </si>
  <si>
    <t>*This is the expected rate of inflation used to adjust annual expenses for Years 2-10.</t>
  </si>
  <si>
    <t>OPERATING LOAN</t>
  </si>
  <si>
    <t>(set operating loan terms)</t>
  </si>
  <si>
    <t>Operating Loan</t>
  </si>
  <si>
    <t>Cucumber Relish</t>
  </si>
  <si>
    <t>Cucumbers (35 lbs)</t>
  </si>
  <si>
    <t>Onions (5 lbs)</t>
  </si>
  <si>
    <t>Plant Manager/Purchaser</t>
  </si>
  <si>
    <t>Marketing Manager/Office</t>
  </si>
  <si>
    <t>Maintenance/Shipping Mgr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</si>
</sst>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"/>
    <numFmt numFmtId="169" formatCode="&quot;$&quot;#,##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u/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u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3"/>
      <name val="Arial"/>
      <family val="2"/>
    </font>
    <font>
      <b/>
      <u/>
      <sz val="12"/>
      <color indexed="12"/>
      <name val="Arial"/>
      <family val="2"/>
    </font>
    <font>
      <u/>
      <sz val="11"/>
      <color theme="1"/>
      <name val="Calibri"/>
      <family val="2"/>
      <scheme val="minor"/>
    </font>
    <font>
      <i/>
      <sz val="11"/>
      <name val="Calibri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 applyFill="0" applyBorder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0" applyFill="0" applyBorder="0"/>
    <xf numFmtId="0" fontId="20" fillId="0" borderId="0"/>
    <xf numFmtId="9" fontId="20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2" fillId="0" borderId="0"/>
  </cellStyleXfs>
  <cellXfs count="214">
    <xf numFmtId="0" fontId="0" fillId="0" borderId="0" xfId="0"/>
    <xf numFmtId="0" fontId="8" fillId="0" borderId="0" xfId="5" applyProtection="1">
      <protection locked="0"/>
    </xf>
    <xf numFmtId="0" fontId="20" fillId="0" borderId="0" xfId="6" applyProtection="1">
      <protection hidden="1"/>
    </xf>
    <xf numFmtId="0" fontId="21" fillId="0" borderId="0" xfId="6" applyFont="1" applyProtection="1">
      <protection hidden="1"/>
    </xf>
    <xf numFmtId="0" fontId="22" fillId="0" borderId="7" xfId="6" applyFont="1" applyBorder="1" applyProtection="1">
      <protection hidden="1"/>
    </xf>
    <xf numFmtId="0" fontId="21" fillId="0" borderId="8" xfId="6" applyFont="1" applyBorder="1" applyProtection="1">
      <protection hidden="1"/>
    </xf>
    <xf numFmtId="0" fontId="23" fillId="0" borderId="0" xfId="6" applyFont="1" applyProtection="1">
      <protection hidden="1"/>
    </xf>
    <xf numFmtId="0" fontId="21" fillId="0" borderId="0" xfId="6" applyFont="1" applyAlignment="1" applyProtection="1">
      <alignment wrapText="1"/>
      <protection hidden="1"/>
    </xf>
    <xf numFmtId="0" fontId="20" fillId="0" borderId="0" xfId="6" applyAlignment="1" applyProtection="1">
      <alignment horizontal="center" vertical="center"/>
      <protection hidden="1"/>
    </xf>
    <xf numFmtId="0" fontId="20" fillId="0" borderId="9" xfId="6" applyBorder="1" applyProtection="1">
      <protection hidden="1"/>
    </xf>
    <xf numFmtId="168" fontId="20" fillId="0" borderId="10" xfId="6" applyNumberFormat="1" applyBorder="1" applyProtection="1">
      <protection hidden="1"/>
    </xf>
    <xf numFmtId="0" fontId="20" fillId="0" borderId="10" xfId="6" applyBorder="1" applyProtection="1">
      <protection hidden="1"/>
    </xf>
    <xf numFmtId="168" fontId="21" fillId="0" borderId="0" xfId="6" applyNumberFormat="1" applyFont="1" applyProtection="1">
      <protection hidden="1"/>
    </xf>
    <xf numFmtId="0" fontId="20" fillId="0" borderId="11" xfId="6" applyBorder="1" applyProtection="1">
      <protection hidden="1"/>
    </xf>
    <xf numFmtId="168" fontId="20" fillId="2" borderId="2" xfId="6" applyNumberFormat="1" applyFill="1" applyBorder="1" applyProtection="1">
      <protection locked="0"/>
    </xf>
    <xf numFmtId="168" fontId="20" fillId="2" borderId="3" xfId="6" applyNumberFormat="1" applyFill="1" applyBorder="1" applyProtection="1">
      <protection locked="0"/>
    </xf>
    <xf numFmtId="167" fontId="20" fillId="0" borderId="10" xfId="4" applyNumberFormat="1" applyFont="1" applyBorder="1" applyProtection="1">
      <protection hidden="1"/>
    </xf>
    <xf numFmtId="0" fontId="24" fillId="0" borderId="0" xfId="6" applyFont="1" applyProtection="1">
      <protection hidden="1"/>
    </xf>
    <xf numFmtId="165" fontId="20" fillId="0" borderId="0" xfId="6" applyNumberFormat="1" applyProtection="1">
      <protection hidden="1"/>
    </xf>
    <xf numFmtId="0" fontId="20" fillId="2" borderId="2" xfId="6" applyFill="1" applyBorder="1" applyProtection="1">
      <protection locked="0"/>
    </xf>
    <xf numFmtId="0" fontId="20" fillId="2" borderId="3" xfId="6" applyFill="1" applyBorder="1" applyProtection="1">
      <protection locked="0"/>
    </xf>
    <xf numFmtId="0" fontId="20" fillId="2" borderId="4" xfId="6" applyFill="1" applyBorder="1" applyProtection="1">
      <protection locked="0"/>
    </xf>
    <xf numFmtId="9" fontId="20" fillId="0" borderId="0" xfId="6" applyNumberFormat="1" applyProtection="1">
      <protection hidden="1"/>
    </xf>
    <xf numFmtId="0" fontId="20" fillId="0" borderId="0" xfId="6" applyAlignment="1" applyProtection="1">
      <alignment horizontal="center"/>
      <protection hidden="1"/>
    </xf>
    <xf numFmtId="9" fontId="0" fillId="2" borderId="2" xfId="7" applyFont="1" applyFill="1" applyBorder="1" applyAlignment="1" applyProtection="1">
      <alignment horizontal="center"/>
      <protection locked="0"/>
    </xf>
    <xf numFmtId="9" fontId="0" fillId="2" borderId="3" xfId="7" applyFont="1" applyFill="1" applyBorder="1" applyAlignment="1" applyProtection="1">
      <alignment horizontal="center"/>
      <protection locked="0"/>
    </xf>
    <xf numFmtId="9" fontId="0" fillId="2" borderId="4" xfId="7" applyFont="1" applyFill="1" applyBorder="1" applyAlignment="1" applyProtection="1">
      <alignment horizontal="center"/>
      <protection locked="0"/>
    </xf>
    <xf numFmtId="9" fontId="20" fillId="0" borderId="0" xfId="6" applyNumberFormat="1" applyAlignment="1" applyProtection="1">
      <alignment horizontal="center"/>
      <protection hidden="1"/>
    </xf>
    <xf numFmtId="168" fontId="20" fillId="2" borderId="8" xfId="6" applyNumberFormat="1" applyFill="1" applyBorder="1" applyAlignment="1" applyProtection="1">
      <alignment horizontal="center"/>
      <protection locked="0"/>
    </xf>
    <xf numFmtId="168" fontId="0" fillId="2" borderId="10" xfId="7" applyNumberFormat="1" applyFont="1" applyFill="1" applyBorder="1" applyAlignment="1" applyProtection="1">
      <alignment horizontal="center"/>
      <protection locked="0"/>
    </xf>
    <xf numFmtId="0" fontId="20" fillId="2" borderId="2" xfId="6" applyFill="1" applyBorder="1" applyAlignment="1" applyProtection="1">
      <alignment horizontal="center"/>
      <protection locked="0"/>
    </xf>
    <xf numFmtId="0" fontId="0" fillId="2" borderId="3" xfId="7" applyNumberFormat="1" applyFont="1" applyFill="1" applyBorder="1" applyAlignment="1" applyProtection="1">
      <alignment horizontal="center"/>
      <protection locked="0"/>
    </xf>
    <xf numFmtId="0" fontId="21" fillId="0" borderId="0" xfId="6" applyFont="1" applyAlignment="1" applyProtection="1">
      <alignment horizontal="center"/>
      <protection hidden="1"/>
    </xf>
    <xf numFmtId="10" fontId="8" fillId="2" borderId="10" xfId="5" applyNumberFormat="1" applyFill="1" applyBorder="1" applyProtection="1">
      <protection locked="0"/>
    </xf>
    <xf numFmtId="10" fontId="8" fillId="2" borderId="12" xfId="5" applyNumberFormat="1" applyFill="1" applyBorder="1" applyProtection="1">
      <protection locked="0"/>
    </xf>
    <xf numFmtId="0" fontId="9" fillId="2" borderId="0" xfId="5" applyFont="1" applyFill="1" applyProtection="1">
      <protection locked="0"/>
    </xf>
    <xf numFmtId="6" fontId="8" fillId="2" borderId="0" xfId="5" applyNumberFormat="1" applyFill="1" applyProtection="1">
      <protection locked="0"/>
    </xf>
    <xf numFmtId="0" fontId="8" fillId="2" borderId="0" xfId="5" applyFill="1" applyAlignment="1" applyProtection="1">
      <alignment horizontal="center"/>
      <protection locked="0"/>
    </xf>
    <xf numFmtId="9" fontId="8" fillId="2" borderId="0" xfId="3" applyFont="1" applyFill="1" applyProtection="1">
      <protection locked="0"/>
    </xf>
    <xf numFmtId="0" fontId="1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38" fontId="0" fillId="0" borderId="0" xfId="0" applyNumberFormat="1" applyProtection="1">
      <protection hidden="1"/>
    </xf>
    <xf numFmtId="0" fontId="28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15" fillId="0" borderId="0" xfId="0" applyFont="1" applyProtection="1">
      <protection hidden="1"/>
    </xf>
    <xf numFmtId="0" fontId="27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27" fillId="0" borderId="0" xfId="0" applyFont="1" applyBorder="1" applyProtection="1">
      <protection hidden="1"/>
    </xf>
    <xf numFmtId="0" fontId="28" fillId="0" borderId="0" xfId="0" applyFont="1" applyBorder="1" applyProtection="1"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166" fontId="0" fillId="0" borderId="0" xfId="1" applyNumberFormat="1" applyFont="1" applyFill="1" applyProtection="1">
      <protection hidden="1"/>
    </xf>
    <xf numFmtId="0" fontId="16" fillId="0" borderId="0" xfId="2" applyAlignment="1" applyProtection="1">
      <protection locked="0"/>
    </xf>
    <xf numFmtId="166" fontId="0" fillId="2" borderId="0" xfId="1" applyNumberFormat="1" applyFont="1" applyFill="1" applyProtection="1">
      <protection locked="0"/>
    </xf>
    <xf numFmtId="0" fontId="25" fillId="0" borderId="0" xfId="8" applyFont="1" applyProtection="1">
      <protection hidden="1"/>
    </xf>
    <xf numFmtId="0" fontId="7" fillId="0" borderId="0" xfId="8" applyProtection="1">
      <protection hidden="1"/>
    </xf>
    <xf numFmtId="0" fontId="6" fillId="0" borderId="0" xfId="8" applyFont="1" applyProtection="1">
      <protection hidden="1"/>
    </xf>
    <xf numFmtId="0" fontId="7" fillId="3" borderId="0" xfId="8" applyFill="1" applyProtection="1">
      <protection hidden="1"/>
    </xf>
    <xf numFmtId="3" fontId="7" fillId="0" borderId="0" xfId="8" applyNumberFormat="1" applyProtection="1">
      <protection hidden="1"/>
    </xf>
    <xf numFmtId="168" fontId="7" fillId="0" borderId="0" xfId="8" applyNumberFormat="1" applyProtection="1">
      <protection hidden="1"/>
    </xf>
    <xf numFmtId="0" fontId="26" fillId="0" borderId="0" xfId="8" applyFont="1" applyProtection="1">
      <protection hidden="1"/>
    </xf>
    <xf numFmtId="0" fontId="7" fillId="0" borderId="1" xfId="8" applyBorder="1" applyProtection="1">
      <protection hidden="1"/>
    </xf>
    <xf numFmtId="0" fontId="7" fillId="0" borderId="8" xfId="8" applyBorder="1" applyProtection="1">
      <protection hidden="1"/>
    </xf>
    <xf numFmtId="0" fontId="7" fillId="0" borderId="9" xfId="8" applyBorder="1" applyProtection="1">
      <protection hidden="1"/>
    </xf>
    <xf numFmtId="0" fontId="7" fillId="0" borderId="10" xfId="8" applyBorder="1" applyProtection="1">
      <protection hidden="1"/>
    </xf>
    <xf numFmtId="165" fontId="7" fillId="0" borderId="0" xfId="8" applyNumberFormat="1" applyProtection="1">
      <protection hidden="1"/>
    </xf>
    <xf numFmtId="165" fontId="7" fillId="0" borderId="10" xfId="8" applyNumberFormat="1" applyBorder="1" applyProtection="1">
      <protection hidden="1"/>
    </xf>
    <xf numFmtId="0" fontId="7" fillId="0" borderId="11" xfId="8" applyBorder="1" applyProtection="1">
      <protection hidden="1"/>
    </xf>
    <xf numFmtId="0" fontId="7" fillId="0" borderId="5" xfId="8" applyBorder="1" applyProtection="1">
      <protection hidden="1"/>
    </xf>
    <xf numFmtId="0" fontId="7" fillId="0" borderId="12" xfId="8" applyBorder="1" applyProtection="1">
      <protection hidden="1"/>
    </xf>
    <xf numFmtId="0" fontId="7" fillId="0" borderId="0" xfId="8" applyProtection="1">
      <protection locked="0"/>
    </xf>
    <xf numFmtId="0" fontId="7" fillId="2" borderId="0" xfId="8" applyFill="1" applyProtection="1">
      <protection locked="0"/>
    </xf>
    <xf numFmtId="0" fontId="7" fillId="3" borderId="0" xfId="8" applyFill="1" applyProtection="1">
      <protection locked="0"/>
    </xf>
    <xf numFmtId="0" fontId="7" fillId="2" borderId="5" xfId="8" applyFill="1" applyBorder="1" applyProtection="1">
      <protection locked="0"/>
    </xf>
    <xf numFmtId="165" fontId="7" fillId="2" borderId="0" xfId="8" applyNumberFormat="1" applyFill="1" applyProtection="1">
      <protection locked="0"/>
    </xf>
    <xf numFmtId="168" fontId="7" fillId="2" borderId="0" xfId="8" applyNumberFormat="1" applyFill="1" applyProtection="1">
      <protection locked="0"/>
    </xf>
    <xf numFmtId="169" fontId="7" fillId="2" borderId="0" xfId="8" applyNumberFormat="1" applyFill="1" applyProtection="1">
      <protection locked="0"/>
    </xf>
    <xf numFmtId="9" fontId="0" fillId="0" borderId="0" xfId="7" applyFont="1" applyFill="1" applyBorder="1" applyProtection="1">
      <protection hidden="1"/>
    </xf>
    <xf numFmtId="0" fontId="20" fillId="0" borderId="0" xfId="6" applyProtection="1">
      <protection locked="0"/>
    </xf>
    <xf numFmtId="0" fontId="20" fillId="2" borderId="6" xfId="6" applyFill="1" applyBorder="1" applyAlignment="1" applyProtection="1">
      <alignment horizontal="center"/>
      <protection locked="0"/>
    </xf>
    <xf numFmtId="0" fontId="20" fillId="2" borderId="7" xfId="6" applyFill="1" applyBorder="1" applyAlignment="1" applyProtection="1">
      <alignment wrapText="1"/>
      <protection locked="0"/>
    </xf>
    <xf numFmtId="0" fontId="20" fillId="2" borderId="9" xfId="6" applyFill="1" applyBorder="1" applyProtection="1">
      <protection locked="0"/>
    </xf>
    <xf numFmtId="0" fontId="20" fillId="2" borderId="3" xfId="6" applyFill="1" applyBorder="1" applyAlignment="1" applyProtection="1">
      <alignment horizontal="center"/>
      <protection locked="0"/>
    </xf>
    <xf numFmtId="168" fontId="20" fillId="2" borderId="10" xfId="6" applyNumberFormat="1" applyFill="1" applyBorder="1" applyAlignment="1" applyProtection="1">
      <alignment horizontal="center"/>
      <protection locked="0"/>
    </xf>
    <xf numFmtId="0" fontId="20" fillId="2" borderId="11" xfId="6" applyFill="1" applyBorder="1" applyProtection="1">
      <protection locked="0"/>
    </xf>
    <xf numFmtId="0" fontId="20" fillId="2" borderId="4" xfId="6" applyFill="1" applyBorder="1" applyAlignment="1" applyProtection="1">
      <alignment horizontal="center"/>
      <protection locked="0"/>
    </xf>
    <xf numFmtId="168" fontId="20" fillId="2" borderId="12" xfId="6" applyNumberFormat="1" applyFill="1" applyBorder="1" applyAlignment="1" applyProtection="1">
      <alignment horizontal="center"/>
      <protection locked="0"/>
    </xf>
    <xf numFmtId="6" fontId="0" fillId="0" borderId="0" xfId="0" applyNumberForma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166" fontId="0" fillId="0" borderId="0" xfId="1" applyNumberFormat="1" applyFont="1" applyProtection="1">
      <protection hidden="1"/>
    </xf>
    <xf numFmtId="166" fontId="0" fillId="0" borderId="0" xfId="0" applyNumberFormat="1" applyProtection="1">
      <protection hidden="1"/>
    </xf>
    <xf numFmtId="9" fontId="11" fillId="0" borderId="0" xfId="0" applyNumberFormat="1" applyFont="1" applyFill="1" applyProtection="1">
      <protection hidden="1"/>
    </xf>
    <xf numFmtId="0" fontId="9" fillId="0" borderId="0" xfId="5" applyFont="1" applyProtection="1">
      <protection hidden="1"/>
    </xf>
    <xf numFmtId="8" fontId="8" fillId="0" borderId="0" xfId="5" applyNumberFormat="1" applyProtection="1">
      <protection hidden="1"/>
    </xf>
    <xf numFmtId="0" fontId="8" fillId="0" borderId="0" xfId="5" applyProtection="1">
      <protection hidden="1"/>
    </xf>
    <xf numFmtId="0" fontId="17" fillId="0" borderId="0" xfId="2" applyFont="1" applyFill="1" applyBorder="1" applyAlignment="1" applyProtection="1">
      <protection hidden="1"/>
    </xf>
    <xf numFmtId="8" fontId="8" fillId="0" borderId="0" xfId="5" applyNumberFormat="1" applyFill="1" applyBorder="1" applyProtection="1">
      <protection hidden="1"/>
    </xf>
    <xf numFmtId="0" fontId="8" fillId="0" borderId="0" xfId="5" applyFill="1" applyBorder="1" applyProtection="1">
      <protection hidden="1"/>
    </xf>
    <xf numFmtId="0" fontId="10" fillId="0" borderId="7" xfId="5" applyFont="1" applyBorder="1" applyProtection="1">
      <protection hidden="1"/>
    </xf>
    <xf numFmtId="0" fontId="8" fillId="0" borderId="8" xfId="5" applyFill="1" applyBorder="1" applyProtection="1">
      <protection hidden="1"/>
    </xf>
    <xf numFmtId="0" fontId="8" fillId="0" borderId="9" xfId="5" applyBorder="1" applyProtection="1">
      <protection hidden="1"/>
    </xf>
    <xf numFmtId="10" fontId="8" fillId="0" borderId="0" xfId="5" applyNumberFormat="1" applyFill="1" applyBorder="1" applyProtection="1">
      <protection hidden="1"/>
    </xf>
    <xf numFmtId="10" fontId="8" fillId="0" borderId="10" xfId="5" applyNumberFormat="1" applyFill="1" applyBorder="1" applyProtection="1">
      <protection hidden="1"/>
    </xf>
    <xf numFmtId="0" fontId="8" fillId="0" borderId="11" xfId="5" applyBorder="1" applyProtection="1">
      <protection hidden="1"/>
    </xf>
    <xf numFmtId="8" fontId="8" fillId="0" borderId="0" xfId="5" applyNumberFormat="1" applyFill="1" applyProtection="1">
      <protection hidden="1"/>
    </xf>
    <xf numFmtId="0" fontId="10" fillId="0" borderId="0" xfId="5" applyFont="1" applyAlignment="1" applyProtection="1">
      <alignment horizontal="center"/>
      <protection hidden="1"/>
    </xf>
    <xf numFmtId="8" fontId="10" fillId="0" borderId="0" xfId="5" applyNumberFormat="1" applyFont="1" applyAlignment="1" applyProtection="1">
      <alignment horizontal="center"/>
      <protection hidden="1"/>
    </xf>
    <xf numFmtId="8" fontId="10" fillId="0" borderId="0" xfId="5" applyNumberFormat="1" applyFont="1" applyFill="1" applyAlignment="1" applyProtection="1">
      <alignment horizontal="center"/>
      <protection hidden="1"/>
    </xf>
    <xf numFmtId="8" fontId="10" fillId="0" borderId="0" xfId="5" applyNumberFormat="1" applyFont="1" applyProtection="1">
      <protection hidden="1"/>
    </xf>
    <xf numFmtId="6" fontId="8" fillId="0" borderId="0" xfId="5" applyNumberFormat="1" applyFill="1" applyProtection="1">
      <protection hidden="1"/>
    </xf>
    <xf numFmtId="6" fontId="8" fillId="0" borderId="0" xfId="5" applyNumberFormat="1" applyProtection="1">
      <protection hidden="1"/>
    </xf>
    <xf numFmtId="0" fontId="8" fillId="0" borderId="0" xfId="5" applyFill="1" applyAlignment="1" applyProtection="1">
      <alignment horizontal="center"/>
      <protection hidden="1"/>
    </xf>
    <xf numFmtId="9" fontId="0" fillId="0" borderId="0" xfId="3" applyFont="1" applyProtection="1">
      <protection hidden="1"/>
    </xf>
    <xf numFmtId="0" fontId="9" fillId="0" borderId="0" xfId="5" applyFont="1" applyFill="1" applyProtection="1">
      <protection hidden="1"/>
    </xf>
    <xf numFmtId="6" fontId="8" fillId="0" borderId="5" xfId="5" applyNumberFormat="1" applyFill="1" applyBorder="1" applyProtection="1">
      <protection hidden="1"/>
    </xf>
    <xf numFmtId="8" fontId="8" fillId="0" borderId="5" xfId="5" applyNumberFormat="1" applyBorder="1" applyProtection="1">
      <protection hidden="1"/>
    </xf>
    <xf numFmtId="6" fontId="8" fillId="0" borderId="5" xfId="5" applyNumberFormat="1" applyBorder="1" applyProtection="1">
      <protection hidden="1"/>
    </xf>
    <xf numFmtId="0" fontId="9" fillId="0" borderId="1" xfId="5" applyFont="1" applyBorder="1" applyProtection="1">
      <protection hidden="1"/>
    </xf>
    <xf numFmtId="6" fontId="8" fillId="0" borderId="1" xfId="5" applyNumberFormat="1" applyBorder="1" applyProtection="1">
      <protection hidden="1"/>
    </xf>
    <xf numFmtId="6" fontId="8" fillId="0" borderId="0" xfId="5" applyNumberFormat="1" applyBorder="1" applyProtection="1">
      <protection hidden="1"/>
    </xf>
    <xf numFmtId="8" fontId="8" fillId="0" borderId="1" xfId="5" applyNumberFormat="1" applyBorder="1" applyProtection="1">
      <protection hidden="1"/>
    </xf>
    <xf numFmtId="9" fontId="0" fillId="0" borderId="0" xfId="0" applyNumberFormat="1" applyProtection="1">
      <protection hidden="1"/>
    </xf>
    <xf numFmtId="9" fontId="10" fillId="0" borderId="0" xfId="0" applyNumberFormat="1" applyFont="1" applyAlignment="1" applyProtection="1">
      <alignment horizontal="center"/>
      <protection hidden="1"/>
    </xf>
    <xf numFmtId="9" fontId="8" fillId="0" borderId="0" xfId="3" applyFont="1" applyFill="1" applyProtection="1">
      <protection hidden="1"/>
    </xf>
    <xf numFmtId="9" fontId="0" fillId="0" borderId="0" xfId="3" applyFont="1" applyFill="1" applyProtection="1">
      <protection hidden="1"/>
    </xf>
    <xf numFmtId="9" fontId="11" fillId="0" borderId="0" xfId="0" applyNumberFormat="1" applyFont="1" applyProtection="1">
      <protection hidden="1"/>
    </xf>
    <xf numFmtId="38" fontId="9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164" fontId="0" fillId="0" borderId="0" xfId="0" applyNumberFormat="1" applyFill="1" applyProtection="1">
      <protection hidden="1"/>
    </xf>
    <xf numFmtId="165" fontId="0" fillId="0" borderId="0" xfId="1" applyNumberFormat="1" applyFont="1" applyProtection="1">
      <protection hidden="1"/>
    </xf>
    <xf numFmtId="166" fontId="11" fillId="0" borderId="0" xfId="1" applyNumberFormat="1" applyFont="1" applyProtection="1">
      <protection hidden="1"/>
    </xf>
    <xf numFmtId="9" fontId="0" fillId="2" borderId="0" xfId="3" applyFont="1" applyFill="1" applyProtection="1">
      <protection locked="0"/>
    </xf>
    <xf numFmtId="10" fontId="0" fillId="0" borderId="0" xfId="0" applyNumberFormat="1" applyProtection="1">
      <protection hidden="1"/>
    </xf>
    <xf numFmtId="0" fontId="0" fillId="0" borderId="0" xfId="0" applyProtection="1">
      <protection locked="0"/>
    </xf>
    <xf numFmtId="6" fontId="0" fillId="2" borderId="2" xfId="0" applyNumberFormat="1" applyFill="1" applyBorder="1" applyProtection="1">
      <protection locked="0"/>
    </xf>
    <xf numFmtId="10" fontId="0" fillId="2" borderId="4" xfId="0" applyNumberFormat="1" applyFill="1" applyBorder="1" applyProtection="1">
      <protection locked="0"/>
    </xf>
    <xf numFmtId="0" fontId="18" fillId="0" borderId="0" xfId="0" applyFont="1" applyProtection="1">
      <protection hidden="1"/>
    </xf>
    <xf numFmtId="10" fontId="0" fillId="2" borderId="6" xfId="0" applyNumberFormat="1" applyFill="1" applyBorder="1" applyProtection="1">
      <protection locked="0"/>
    </xf>
    <xf numFmtId="0" fontId="10" fillId="0" borderId="0" xfId="0" applyFont="1" applyProtection="1">
      <protection hidden="1"/>
    </xf>
    <xf numFmtId="6" fontId="9" fillId="0" borderId="0" xfId="0" applyNumberFormat="1" applyFont="1" applyProtection="1">
      <protection hidden="1"/>
    </xf>
    <xf numFmtId="166" fontId="9" fillId="0" borderId="0" xfId="0" applyNumberFormat="1" applyFont="1" applyProtection="1">
      <protection hidden="1"/>
    </xf>
    <xf numFmtId="9" fontId="9" fillId="0" borderId="0" xfId="0" applyNumberFormat="1" applyFont="1" applyProtection="1">
      <protection hidden="1"/>
    </xf>
    <xf numFmtId="6" fontId="0" fillId="0" borderId="2" xfId="0" applyNumberFormat="1" applyBorder="1" applyProtection="1">
      <protection hidden="1"/>
    </xf>
    <xf numFmtId="2" fontId="0" fillId="0" borderId="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10" fontId="9" fillId="2" borderId="6" xfId="0" applyNumberFormat="1" applyFont="1" applyFill="1" applyBorder="1" applyProtection="1">
      <protection locked="0"/>
    </xf>
    <xf numFmtId="0" fontId="5" fillId="0" borderId="0" xfId="8" applyFont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20" fillId="0" borderId="7" xfId="6" applyBorder="1" applyProtection="1">
      <protection hidden="1"/>
    </xf>
    <xf numFmtId="168" fontId="20" fillId="0" borderId="8" xfId="6" applyNumberFormat="1" applyBorder="1" applyProtection="1">
      <protection hidden="1"/>
    </xf>
    <xf numFmtId="0" fontId="20" fillId="2" borderId="10" xfId="6" applyFill="1" applyBorder="1" applyProtection="1">
      <protection locked="0"/>
    </xf>
    <xf numFmtId="9" fontId="20" fillId="2" borderId="10" xfId="3" applyFont="1" applyFill="1" applyBorder="1" applyProtection="1">
      <protection locked="0"/>
    </xf>
    <xf numFmtId="168" fontId="20" fillId="2" borderId="10" xfId="6" applyNumberFormat="1" applyFill="1" applyBorder="1" applyProtection="1">
      <protection locked="0"/>
    </xf>
    <xf numFmtId="8" fontId="20" fillId="0" borderId="10" xfId="6" applyNumberFormat="1" applyBorder="1" applyProtection="1">
      <protection hidden="1"/>
    </xf>
    <xf numFmtId="10" fontId="20" fillId="0" borderId="12" xfId="3" applyNumberFormat="1" applyFont="1" applyBorder="1" applyProtection="1">
      <protection hidden="1"/>
    </xf>
    <xf numFmtId="0" fontId="22" fillId="0" borderId="0" xfId="6" applyFon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9" fillId="0" borderId="0" xfId="1" applyNumberFormat="1" applyFont="1" applyProtection="1">
      <protection hidden="1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Fill="1" applyProtection="1">
      <protection hidden="1"/>
    </xf>
    <xf numFmtId="165" fontId="0" fillId="0" borderId="0" xfId="1" applyNumberFormat="1" applyFont="1" applyFill="1" applyProtection="1">
      <protection locked="0"/>
    </xf>
    <xf numFmtId="0" fontId="7" fillId="5" borderId="0" xfId="8" applyFill="1" applyProtection="1">
      <protection hidden="1"/>
    </xf>
    <xf numFmtId="0" fontId="9" fillId="5" borderId="0" xfId="0" applyFont="1" applyFill="1" applyProtection="1">
      <protection hidden="1"/>
    </xf>
    <xf numFmtId="166" fontId="0" fillId="5" borderId="0" xfId="1" applyNumberFormat="1" applyFont="1" applyFill="1" applyProtection="1">
      <protection hidden="1"/>
    </xf>
    <xf numFmtId="0" fontId="4" fillId="0" borderId="0" xfId="8" applyFont="1" applyProtection="1">
      <protection hidden="1"/>
    </xf>
    <xf numFmtId="3" fontId="7" fillId="2" borderId="0" xfId="8" applyNumberFormat="1" applyFill="1" applyProtection="1">
      <protection locked="0"/>
    </xf>
    <xf numFmtId="0" fontId="7" fillId="0" borderId="0" xfId="8" applyAlignment="1" applyProtection="1">
      <alignment horizontal="center"/>
      <protection hidden="1"/>
    </xf>
    <xf numFmtId="0" fontId="3" fillId="0" borderId="7" xfId="8" applyFont="1" applyBorder="1" applyProtection="1">
      <protection hidden="1"/>
    </xf>
    <xf numFmtId="0" fontId="31" fillId="0" borderId="0" xfId="8" applyFont="1" applyProtection="1">
      <protection hidden="1"/>
    </xf>
    <xf numFmtId="0" fontId="31" fillId="0" borderId="10" xfId="8" applyFont="1" applyBorder="1" applyProtection="1">
      <protection hidden="1"/>
    </xf>
    <xf numFmtId="165" fontId="7" fillId="0" borderId="5" xfId="8" applyNumberFormat="1" applyBorder="1" applyProtection="1">
      <protection hidden="1"/>
    </xf>
    <xf numFmtId="165" fontId="7" fillId="0" borderId="12" xfId="8" applyNumberFormat="1" applyBorder="1" applyProtection="1">
      <protection hidden="1"/>
    </xf>
    <xf numFmtId="165" fontId="7" fillId="0" borderId="3" xfId="8" applyNumberFormat="1" applyBorder="1" applyProtection="1">
      <protection hidden="1"/>
    </xf>
    <xf numFmtId="165" fontId="7" fillId="0" borderId="4" xfId="8" applyNumberFormat="1" applyBorder="1" applyProtection="1">
      <protection hidden="1"/>
    </xf>
    <xf numFmtId="165" fontId="7" fillId="0" borderId="2" xfId="8" applyNumberFormat="1" applyBorder="1" applyProtection="1">
      <protection hidden="1"/>
    </xf>
    <xf numFmtId="165" fontId="7" fillId="0" borderId="8" xfId="8" applyNumberFormat="1" applyBorder="1" applyProtection="1">
      <protection hidden="1"/>
    </xf>
    <xf numFmtId="0" fontId="7" fillId="2" borderId="0" xfId="8" applyFill="1" applyProtection="1">
      <protection hidden="1"/>
    </xf>
    <xf numFmtId="0" fontId="3" fillId="0" borderId="0" xfId="8" applyFont="1" applyProtection="1">
      <protection hidden="1"/>
    </xf>
    <xf numFmtId="0" fontId="14" fillId="6" borderId="13" xfId="5" applyFont="1" applyFill="1" applyBorder="1" applyProtection="1">
      <protection hidden="1"/>
    </xf>
    <xf numFmtId="0" fontId="8" fillId="6" borderId="14" xfId="5" applyFill="1" applyBorder="1" applyProtection="1">
      <protection hidden="1"/>
    </xf>
    <xf numFmtId="0" fontId="8" fillId="6" borderId="15" xfId="5" applyFill="1" applyBorder="1" applyProtection="1">
      <protection hidden="1"/>
    </xf>
    <xf numFmtId="0" fontId="14" fillId="6" borderId="16" xfId="5" applyFont="1" applyFill="1" applyBorder="1" applyProtection="1">
      <protection hidden="1"/>
    </xf>
    <xf numFmtId="0" fontId="8" fillId="6" borderId="0" xfId="5" applyFill="1" applyBorder="1" applyProtection="1">
      <protection hidden="1"/>
    </xf>
    <xf numFmtId="0" fontId="8" fillId="6" borderId="17" xfId="5" applyFill="1" applyBorder="1" applyProtection="1">
      <protection hidden="1"/>
    </xf>
    <xf numFmtId="0" fontId="14" fillId="6" borderId="18" xfId="5" applyFont="1" applyFill="1" applyBorder="1" applyProtection="1">
      <protection hidden="1"/>
    </xf>
    <xf numFmtId="0" fontId="8" fillId="6" borderId="19" xfId="5" applyFill="1" applyBorder="1" applyProtection="1">
      <protection hidden="1"/>
    </xf>
    <xf numFmtId="0" fontId="8" fillId="6" borderId="20" xfId="5" applyFill="1" applyBorder="1" applyProtection="1">
      <protection hidden="1"/>
    </xf>
    <xf numFmtId="0" fontId="32" fillId="0" borderId="0" xfId="0" applyFont="1"/>
    <xf numFmtId="0" fontId="14" fillId="0" borderId="0" xfId="5" applyFont="1" applyFill="1" applyBorder="1" applyProtection="1">
      <protection hidden="1"/>
    </xf>
    <xf numFmtId="0" fontId="33" fillId="0" borderId="0" xfId="6" applyFont="1" applyProtection="1">
      <protection hidden="1"/>
    </xf>
    <xf numFmtId="0" fontId="1" fillId="0" borderId="0" xfId="8" applyFont="1" applyAlignment="1" applyProtection="1">
      <alignment horizontal="right"/>
      <protection hidden="1"/>
    </xf>
    <xf numFmtId="168" fontId="7" fillId="0" borderId="5" xfId="8" applyNumberFormat="1" applyBorder="1" applyProtection="1">
      <protection hidden="1"/>
    </xf>
    <xf numFmtId="0" fontId="30" fillId="0" borderId="0" xfId="2" applyFont="1" applyAlignment="1" applyProtection="1">
      <protection locked="0"/>
    </xf>
    <xf numFmtId="0" fontId="20" fillId="4" borderId="7" xfId="6" applyFill="1" applyBorder="1" applyAlignment="1" applyProtection="1">
      <alignment horizontal="left" vertical="top" wrapText="1"/>
      <protection locked="0"/>
    </xf>
    <xf numFmtId="0" fontId="20" fillId="4" borderId="8" xfId="6" applyFill="1" applyBorder="1" applyAlignment="1" applyProtection="1">
      <alignment horizontal="left" vertical="top" wrapText="1"/>
      <protection locked="0"/>
    </xf>
    <xf numFmtId="0" fontId="20" fillId="4" borderId="9" xfId="6" applyFill="1" applyBorder="1" applyAlignment="1" applyProtection="1">
      <alignment horizontal="left" vertical="top" wrapText="1"/>
      <protection locked="0"/>
    </xf>
    <xf numFmtId="0" fontId="20" fillId="4" borderId="10" xfId="6" applyFill="1" applyBorder="1" applyAlignment="1" applyProtection="1">
      <alignment horizontal="left" vertical="top" wrapText="1"/>
      <protection locked="0"/>
    </xf>
    <xf numFmtId="0" fontId="20" fillId="4" borderId="11" xfId="6" applyFill="1" applyBorder="1" applyAlignment="1" applyProtection="1">
      <alignment horizontal="left" vertical="top" wrapText="1"/>
      <protection locked="0"/>
    </xf>
    <xf numFmtId="0" fontId="20" fillId="4" borderId="12" xfId="6" applyFill="1" applyBorder="1" applyAlignment="1" applyProtection="1">
      <alignment horizontal="left" vertical="top" wrapText="1"/>
      <protection locked="0"/>
    </xf>
    <xf numFmtId="0" fontId="21" fillId="0" borderId="0" xfId="6" applyFont="1" applyAlignment="1" applyProtection="1">
      <alignment horizontal="center"/>
      <protection hidden="1"/>
    </xf>
    <xf numFmtId="0" fontId="7" fillId="0" borderId="0" xfId="8" applyAlignment="1" applyProtection="1">
      <alignment horizontal="center"/>
      <protection hidden="1"/>
    </xf>
    <xf numFmtId="0" fontId="3" fillId="0" borderId="0" xfId="8" applyFont="1" applyAlignment="1" applyProtection="1">
      <alignment horizontal="center"/>
      <protection hidden="1"/>
    </xf>
    <xf numFmtId="0" fontId="7" fillId="0" borderId="10" xfId="8" applyBorder="1" applyAlignment="1" applyProtection="1">
      <alignment horizontal="center"/>
      <protection hidden="1"/>
    </xf>
    <xf numFmtId="0" fontId="16" fillId="0" borderId="0" xfId="2" applyAlignment="1" applyProtection="1">
      <protection locked="0"/>
    </xf>
    <xf numFmtId="0" fontId="17" fillId="0" borderId="0" xfId="2" applyFont="1" applyFill="1" applyBorder="1" applyAlignment="1" applyProtection="1">
      <protection hidden="1"/>
    </xf>
  </cellXfs>
  <cellStyles count="11">
    <cellStyle name="Comma" xfId="4" builtinId="3"/>
    <cellStyle name="Comma 2" xfId="9" xr:uid="{00000000-0005-0000-0000-000001000000}"/>
    <cellStyle name="Currency" xfId="1" builtinId="4"/>
    <cellStyle name="Hyperlink" xfId="2" builtinId="8"/>
    <cellStyle name="Normal" xfId="0" builtinId="0"/>
    <cellStyle name="Normal 2" xfId="5" xr:uid="{00000000-0005-0000-0000-000005000000}"/>
    <cellStyle name="Normal 3" xfId="6" xr:uid="{00000000-0005-0000-0000-000006000000}"/>
    <cellStyle name="Normal 4" xfId="8" xr:uid="{00000000-0005-0000-0000-000007000000}"/>
    <cellStyle name="Normal 4 2" xfId="10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9" defaultPivotStyle="PivotStyleLight16"/>
  <colors>
    <mruColors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-Farm%20Equipment/On-Farm%20Inspected%20Kitchen%20Template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ies"/>
      <sheetName val="Variable Costs &amp; Pricing"/>
      <sheetName val="Net Returns"/>
      <sheetName val="Farm Fresh Equiv Pricing"/>
    </sheetNames>
    <sheetDataSet>
      <sheetData sheetId="0">
        <row r="6">
          <cell r="C6">
            <v>60</v>
          </cell>
        </row>
        <row r="204">
          <cell r="B204" t="str">
            <v>A = All</v>
          </cell>
          <cell r="C204" t="str">
            <v>A</v>
          </cell>
        </row>
        <row r="205">
          <cell r="B205" t="str">
            <v>B = Baking</v>
          </cell>
          <cell r="C205" t="str">
            <v>B</v>
          </cell>
        </row>
        <row r="206">
          <cell r="B206" t="str">
            <v>C = Canning</v>
          </cell>
          <cell r="C206" t="str">
            <v>C</v>
          </cell>
        </row>
        <row r="207">
          <cell r="B207" t="str">
            <v>D = Drying</v>
          </cell>
          <cell r="C207" t="str">
            <v>D</v>
          </cell>
        </row>
        <row r="208">
          <cell r="B208" t="str">
            <v>CB = Canning/Baking</v>
          </cell>
          <cell r="C208" t="str">
            <v>CB</v>
          </cell>
        </row>
        <row r="209">
          <cell r="B209" t="str">
            <v>DB = Drying/Baking</v>
          </cell>
          <cell r="C209" t="str">
            <v>DB</v>
          </cell>
        </row>
        <row r="210">
          <cell r="B210" t="str">
            <v>DC = Drying/Canning</v>
          </cell>
          <cell r="C210" t="str">
            <v>DC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4"/>
  <sheetViews>
    <sheetView showGridLines="0" showRowColHeaders="0" tabSelected="1" topLeftCell="A5" workbookViewId="0">
      <selection activeCell="C23" sqref="C23:F23"/>
    </sheetView>
  </sheetViews>
  <sheetFormatPr defaultColWidth="9.109375" defaultRowHeight="13.2" x14ac:dyDescent="0.25"/>
  <cols>
    <col min="1" max="1" width="5.6640625" style="41" customWidth="1"/>
    <col min="2" max="2" width="21.88671875" style="41" customWidth="1"/>
    <col min="3" max="3" width="9.109375" style="41"/>
    <col min="4" max="4" width="9.44140625" style="41" customWidth="1"/>
    <col min="5" max="5" width="9.109375" style="41"/>
    <col min="6" max="6" width="21" style="41" bestFit="1" customWidth="1"/>
    <col min="7" max="11" width="9.109375" style="41"/>
    <col min="12" max="13" width="9.6640625" style="41" bestFit="1" customWidth="1"/>
    <col min="14" max="16384" width="9.109375" style="41"/>
  </cols>
  <sheetData>
    <row r="1" spans="2:22" ht="17.399999999999999" x14ac:dyDescent="0.3">
      <c r="B1" s="39" t="s">
        <v>251</v>
      </c>
      <c r="C1" s="40"/>
      <c r="D1" s="40"/>
      <c r="E1" s="40"/>
      <c r="F1" s="40"/>
      <c r="G1" s="40"/>
      <c r="H1" s="40"/>
      <c r="I1" s="40"/>
      <c r="J1" s="40"/>
    </row>
    <row r="2" spans="2:22" ht="17.399999999999999" x14ac:dyDescent="0.3">
      <c r="B2" s="39"/>
      <c r="C2" s="40"/>
      <c r="D2" s="40"/>
      <c r="E2" s="40"/>
      <c r="F2" s="40"/>
      <c r="G2" s="40"/>
      <c r="H2" s="40"/>
      <c r="I2" s="40"/>
      <c r="J2" s="40"/>
    </row>
    <row r="3" spans="2:22" ht="17.399999999999999" x14ac:dyDescent="0.3">
      <c r="B3" s="39" t="s">
        <v>56</v>
      </c>
      <c r="C3" s="42" t="s">
        <v>69</v>
      </c>
      <c r="D3" s="40"/>
      <c r="E3" s="40"/>
      <c r="F3" s="40"/>
      <c r="G3" s="40"/>
      <c r="H3" s="40"/>
      <c r="I3" s="40"/>
      <c r="J3" s="40"/>
    </row>
    <row r="4" spans="2:22" ht="17.399999999999999" x14ac:dyDescent="0.3">
      <c r="B4" s="39" t="s">
        <v>55</v>
      </c>
      <c r="C4" s="42" t="s">
        <v>70</v>
      </c>
      <c r="D4" s="40"/>
      <c r="E4" s="40"/>
      <c r="F4" s="40"/>
      <c r="G4" s="40"/>
      <c r="H4" s="40"/>
      <c r="I4" s="40"/>
      <c r="J4" s="40"/>
    </row>
    <row r="5" spans="2:22" ht="18" thickBot="1" x14ac:dyDescent="0.35">
      <c r="B5" s="39"/>
      <c r="C5" s="42"/>
      <c r="D5" s="40"/>
      <c r="E5" s="40"/>
      <c r="F5" s="40"/>
      <c r="G5" s="40"/>
      <c r="H5" s="40"/>
      <c r="I5" s="40"/>
      <c r="J5" s="40"/>
    </row>
    <row r="6" spans="2:22" ht="16.8" x14ac:dyDescent="0.3">
      <c r="B6" s="187" t="s">
        <v>245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</row>
    <row r="7" spans="2:22" ht="16.8" x14ac:dyDescent="0.3">
      <c r="B7" s="190" t="s">
        <v>246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2"/>
    </row>
    <row r="8" spans="2:22" ht="16.8" x14ac:dyDescent="0.3">
      <c r="B8" s="190" t="s">
        <v>247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2"/>
    </row>
    <row r="9" spans="2:22" ht="17.399999999999999" thickBot="1" x14ac:dyDescent="0.35">
      <c r="B9" s="193" t="s">
        <v>248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5"/>
    </row>
    <row r="10" spans="2:22" ht="16.8" x14ac:dyDescent="0.3">
      <c r="B10" s="43" t="s">
        <v>249</v>
      </c>
      <c r="C10" s="40"/>
      <c r="D10" s="40"/>
      <c r="F10" s="43"/>
      <c r="H10" s="43"/>
      <c r="I10" s="40"/>
      <c r="J10" s="44"/>
      <c r="K10" s="155" t="s">
        <v>222</v>
      </c>
      <c r="L10" s="156"/>
    </row>
    <row r="11" spans="2:22" ht="16.8" x14ac:dyDescent="0.3">
      <c r="B11" s="43" t="s">
        <v>71</v>
      </c>
      <c r="C11" s="40"/>
      <c r="D11" s="40"/>
      <c r="E11" s="40"/>
      <c r="F11" s="40"/>
      <c r="G11" s="40"/>
      <c r="H11" s="40"/>
      <c r="I11" s="40"/>
      <c r="J11" s="40"/>
      <c r="N11" s="45"/>
    </row>
    <row r="12" spans="2:22" ht="16.8" x14ac:dyDescent="0.3">
      <c r="B12" s="43" t="s">
        <v>101</v>
      </c>
      <c r="C12" s="40"/>
      <c r="D12" s="40"/>
      <c r="E12" s="40"/>
      <c r="F12" s="40"/>
      <c r="G12" s="40"/>
      <c r="H12" s="40"/>
      <c r="I12" s="40"/>
      <c r="J12" s="40"/>
    </row>
    <row r="13" spans="2:22" x14ac:dyDescent="0.25">
      <c r="B13" s="40"/>
      <c r="C13" s="40"/>
      <c r="D13" s="40"/>
      <c r="E13" s="40"/>
      <c r="F13" s="40"/>
      <c r="G13" s="40"/>
      <c r="H13" s="40"/>
      <c r="I13" s="40"/>
      <c r="J13" s="40"/>
    </row>
    <row r="14" spans="2:22" ht="16.8" x14ac:dyDescent="0.3">
      <c r="B14" s="197" t="s">
        <v>250</v>
      </c>
      <c r="C14" s="40"/>
      <c r="D14" s="40"/>
      <c r="E14" s="40"/>
      <c r="F14" s="40"/>
      <c r="G14" s="40"/>
      <c r="H14" s="40"/>
      <c r="I14" s="40"/>
      <c r="J14" s="40"/>
    </row>
    <row r="15" spans="2:22" ht="16.8" x14ac:dyDescent="0.3">
      <c r="B15" s="43" t="s">
        <v>205</v>
      </c>
      <c r="C15" s="40"/>
      <c r="D15" s="40"/>
      <c r="E15" s="40"/>
      <c r="F15" s="40"/>
      <c r="G15" s="40"/>
      <c r="H15" s="40"/>
      <c r="I15" s="40"/>
      <c r="J15" s="40"/>
    </row>
    <row r="16" spans="2:22" ht="16.8" x14ac:dyDescent="0.3">
      <c r="B16" s="43" t="s">
        <v>206</v>
      </c>
      <c r="C16" s="40"/>
      <c r="D16" s="40"/>
      <c r="E16" s="40"/>
      <c r="F16" s="40"/>
      <c r="G16" s="40"/>
      <c r="H16" s="40"/>
      <c r="I16" s="40"/>
      <c r="J16" s="40"/>
    </row>
    <row r="17" spans="2:13" ht="16.8" x14ac:dyDescent="0.3">
      <c r="B17" s="43" t="s">
        <v>207</v>
      </c>
      <c r="F17" s="46"/>
      <c r="G17" s="46"/>
      <c r="H17" s="46"/>
      <c r="I17" s="40"/>
      <c r="J17" s="40"/>
    </row>
    <row r="18" spans="2:13" ht="16.8" x14ac:dyDescent="0.3">
      <c r="B18" s="43" t="s">
        <v>234</v>
      </c>
      <c r="F18" s="46"/>
      <c r="G18" s="46"/>
      <c r="H18" s="46"/>
      <c r="I18" s="40"/>
      <c r="J18" s="40"/>
    </row>
    <row r="19" spans="2:13" ht="16.8" x14ac:dyDescent="0.3">
      <c r="B19" s="43" t="s">
        <v>208</v>
      </c>
      <c r="C19" s="47"/>
      <c r="D19" s="47"/>
      <c r="F19" s="47"/>
      <c r="G19" s="47"/>
      <c r="H19" s="47"/>
      <c r="I19" s="47"/>
      <c r="J19" s="47"/>
    </row>
    <row r="20" spans="2:13" ht="16.8" x14ac:dyDescent="0.3">
      <c r="B20" s="43" t="s">
        <v>209</v>
      </c>
      <c r="C20" s="47"/>
      <c r="D20" s="47"/>
      <c r="E20" s="47"/>
      <c r="F20" s="47"/>
      <c r="G20" s="47"/>
      <c r="H20" s="47"/>
      <c r="I20" s="47"/>
      <c r="J20" s="47"/>
    </row>
    <row r="21" spans="2:13" ht="22.8" x14ac:dyDescent="0.4">
      <c r="B21" s="48"/>
    </row>
    <row r="22" spans="2:13" ht="15.6" x14ac:dyDescent="0.3">
      <c r="C22" s="49" t="s">
        <v>199</v>
      </c>
    </row>
    <row r="23" spans="2:13" ht="15.6" x14ac:dyDescent="0.3">
      <c r="C23" s="201" t="s">
        <v>193</v>
      </c>
      <c r="D23" s="201"/>
      <c r="E23" s="201"/>
      <c r="F23" s="201"/>
      <c r="G23" s="50"/>
      <c r="H23" s="50"/>
      <c r="J23" s="141"/>
      <c r="K23" s="141"/>
      <c r="L23" s="141"/>
      <c r="M23" s="141"/>
    </row>
    <row r="24" spans="2:13" ht="15.6" x14ac:dyDescent="0.3">
      <c r="C24" s="201" t="s">
        <v>194</v>
      </c>
      <c r="D24" s="201"/>
      <c r="E24" s="201"/>
      <c r="G24" s="40"/>
      <c r="H24" s="40"/>
      <c r="J24" s="141"/>
      <c r="K24" s="141"/>
      <c r="L24" s="141"/>
      <c r="M24" s="141"/>
    </row>
    <row r="25" spans="2:13" ht="15.6" x14ac:dyDescent="0.3">
      <c r="C25" s="201" t="s">
        <v>195</v>
      </c>
      <c r="D25" s="201"/>
      <c r="E25" s="201"/>
      <c r="J25" s="141"/>
      <c r="K25" s="141"/>
      <c r="L25" s="141"/>
      <c r="M25" s="141"/>
    </row>
    <row r="26" spans="2:13" ht="15.6" x14ac:dyDescent="0.3">
      <c r="C26" s="201" t="s">
        <v>267</v>
      </c>
      <c r="D26" s="201"/>
      <c r="E26" s="201"/>
      <c r="J26" s="141"/>
      <c r="K26" s="141"/>
      <c r="L26" s="141"/>
      <c r="M26" s="141"/>
    </row>
    <row r="27" spans="2:13" ht="15.6" x14ac:dyDescent="0.3">
      <c r="C27" s="201" t="s">
        <v>252</v>
      </c>
      <c r="D27" s="201"/>
      <c r="E27" s="201"/>
      <c r="J27" s="141"/>
      <c r="K27" s="141"/>
      <c r="L27" s="141"/>
      <c r="M27" s="141"/>
    </row>
    <row r="28" spans="2:13" ht="15.6" x14ac:dyDescent="0.3">
      <c r="C28" s="201" t="s">
        <v>196</v>
      </c>
      <c r="D28" s="201"/>
      <c r="E28" s="201"/>
      <c r="J28" s="141"/>
      <c r="K28" s="141"/>
      <c r="L28" s="141"/>
      <c r="M28" s="141"/>
    </row>
    <row r="29" spans="2:13" ht="15.6" x14ac:dyDescent="0.3">
      <c r="C29" s="201" t="s">
        <v>197</v>
      </c>
      <c r="D29" s="201"/>
      <c r="E29" s="201"/>
      <c r="J29" s="141"/>
      <c r="K29" s="141"/>
      <c r="L29" s="141"/>
      <c r="M29" s="141"/>
    </row>
    <row r="30" spans="2:13" ht="15.6" x14ac:dyDescent="0.3">
      <c r="C30" s="201" t="s">
        <v>198</v>
      </c>
      <c r="D30" s="201"/>
      <c r="E30" s="201"/>
      <c r="J30" s="141"/>
      <c r="K30" s="141"/>
      <c r="L30" s="141"/>
      <c r="M30" s="141"/>
    </row>
    <row r="33" spans="2:6" ht="15.6" x14ac:dyDescent="0.3">
      <c r="B33" s="49" t="s">
        <v>57</v>
      </c>
      <c r="C33" s="46"/>
      <c r="D33" s="46"/>
      <c r="F33" s="51" t="s">
        <v>213</v>
      </c>
    </row>
    <row r="34" spans="2:6" ht="15.6" x14ac:dyDescent="0.3">
      <c r="B34" s="52"/>
      <c r="C34" s="49"/>
      <c r="D34" s="49"/>
      <c r="F34" s="49" t="s">
        <v>212</v>
      </c>
    </row>
  </sheetData>
  <sheetProtection password="E114" sheet="1" objects="1" scenarios="1" selectLockedCells="1"/>
  <mergeCells count="8">
    <mergeCell ref="C28:E28"/>
    <mergeCell ref="C29:E29"/>
    <mergeCell ref="C30:E30"/>
    <mergeCell ref="C23:F23"/>
    <mergeCell ref="C24:E24"/>
    <mergeCell ref="C25:E25"/>
    <mergeCell ref="C26:E26"/>
    <mergeCell ref="C27:E27"/>
  </mergeCells>
  <phoneticPr fontId="0" type="noConversion"/>
  <hyperlinks>
    <hyperlink ref="C23" location="'Production Assumptions'!A1" display="Production Assumptions" xr:uid="{00000000-0004-0000-0000-000000000000}"/>
    <hyperlink ref="C24" location="'Personnel Expenses'!A1" display="Personnel Expenses" xr:uid="{00000000-0004-0000-0000-000001000000}"/>
    <hyperlink ref="C25" location="'Market Projection'!A1" display="Market Projection" xr:uid="{00000000-0004-0000-0000-000002000000}"/>
    <hyperlink ref="C28" location="'Expense Projection'!A1" display="Expense Projection" xr:uid="{00000000-0004-0000-0000-000003000000}"/>
    <hyperlink ref="C29" location="'Profit &amp; Loss'!A1" display="Profit/Loss Summary" xr:uid="{00000000-0004-0000-0000-000004000000}"/>
    <hyperlink ref="C30" location="'Return On Investment'!A1" display="Return on Investment" xr:uid="{00000000-0004-0000-0000-000005000000}"/>
    <hyperlink ref="C26:E26" location="'Operating Loan'!A1" display="Operating Loan" xr:uid="{00000000-0004-0000-0000-000006000000}"/>
    <hyperlink ref="C27:E27" location="'Utilities Estimates'!A1" display="Utilities Estimates" xr:uid="{00000000-0004-0000-0000-000007000000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B220"/>
  <sheetViews>
    <sheetView showGridLines="0" showRowColHeaders="0" topLeftCell="A34" zoomScaleNormal="100" workbookViewId="0">
      <selection activeCell="I52" sqref="I52:J74"/>
    </sheetView>
  </sheetViews>
  <sheetFormatPr defaultColWidth="12.6640625" defaultRowHeight="13.2" x14ac:dyDescent="0.25"/>
  <cols>
    <col min="1" max="1" width="4" style="2" customWidth="1"/>
    <col min="2" max="2" width="33" style="2" customWidth="1"/>
    <col min="3" max="3" width="12" style="2" customWidth="1"/>
    <col min="4" max="4" width="10.6640625" style="2" customWidth="1"/>
    <col min="5" max="5" width="5.6640625" style="2" customWidth="1"/>
    <col min="6" max="6" width="40.6640625" style="2" customWidth="1"/>
    <col min="7" max="7" width="12.6640625" style="2" customWidth="1"/>
    <col min="8" max="8" width="5.6640625" style="2" customWidth="1"/>
    <col min="9" max="9" width="40.6640625" style="2" customWidth="1"/>
    <col min="10" max="10" width="12.6640625" style="2" customWidth="1"/>
    <col min="11" max="11" width="5.6640625" style="2" customWidth="1"/>
    <col min="12" max="12" width="40.6640625" style="2" customWidth="1"/>
    <col min="13" max="13" width="12.6640625" style="2"/>
    <col min="14" max="14" width="5.6640625" style="2" customWidth="1"/>
    <col min="15" max="15" width="40.6640625" style="2" customWidth="1"/>
    <col min="16" max="16" width="12.6640625" style="2"/>
    <col min="17" max="17" width="5.6640625" style="2" customWidth="1"/>
    <col min="18" max="18" width="40.6640625" style="2" customWidth="1"/>
    <col min="19" max="19" width="12.6640625" style="2"/>
    <col min="20" max="20" width="5.6640625" style="2" customWidth="1"/>
    <col min="21" max="21" width="40.6640625" style="2" customWidth="1"/>
    <col min="22" max="22" width="12.6640625" style="2"/>
    <col min="23" max="23" width="5.6640625" style="2" customWidth="1"/>
    <col min="24" max="24" width="40.6640625" style="2" customWidth="1"/>
    <col min="25" max="25" width="12.6640625" style="2"/>
    <col min="26" max="26" width="5.6640625" style="2" customWidth="1"/>
    <col min="27" max="27" width="40.6640625" style="2" customWidth="1"/>
    <col min="28" max="28" width="12.6640625" style="2"/>
    <col min="29" max="29" width="5.6640625" style="2" customWidth="1"/>
    <col min="30" max="30" width="40.6640625" style="2" customWidth="1"/>
    <col min="31" max="31" width="12.6640625" style="2"/>
    <col min="32" max="32" width="5.6640625" style="2" customWidth="1"/>
    <col min="33" max="33" width="40.6640625" style="2" customWidth="1"/>
    <col min="34" max="52" width="12.6640625" style="2"/>
    <col min="53" max="53" width="21.44140625" style="2" customWidth="1"/>
    <col min="54" max="16384" width="12.6640625" style="2"/>
  </cols>
  <sheetData>
    <row r="1" spans="2:54" x14ac:dyDescent="0.25">
      <c r="B1" s="3" t="s">
        <v>86</v>
      </c>
    </row>
    <row r="2" spans="2:54" ht="14.4" x14ac:dyDescent="0.3">
      <c r="B2" s="196" t="s">
        <v>244</v>
      </c>
    </row>
    <row r="3" spans="2:54" x14ac:dyDescent="0.25">
      <c r="B3" s="50" t="s">
        <v>199</v>
      </c>
      <c r="F3" s="208" t="s">
        <v>72</v>
      </c>
      <c r="G3" s="208"/>
    </row>
    <row r="4" spans="2:54" x14ac:dyDescent="0.25">
      <c r="B4" s="59" t="s">
        <v>194</v>
      </c>
      <c r="F4" s="4" t="str">
        <f>B12</f>
        <v>Sauerkraut</v>
      </c>
      <c r="G4" s="5" t="s">
        <v>73</v>
      </c>
      <c r="I4" s="4" t="str">
        <f>B13</f>
        <v>Cucumber Relish</v>
      </c>
      <c r="J4" s="5" t="s">
        <v>73</v>
      </c>
      <c r="L4" s="4" t="str">
        <f>B14</f>
        <v>Enter Product 3 Name Here</v>
      </c>
      <c r="M4" s="5" t="s">
        <v>73</v>
      </c>
      <c r="O4" s="4" t="str">
        <f>B15</f>
        <v>Enter Product 4 Name Here</v>
      </c>
      <c r="P4" s="5" t="s">
        <v>73</v>
      </c>
      <c r="R4" s="4" t="str">
        <f>B16</f>
        <v>Enter Product 5 Name Here</v>
      </c>
      <c r="S4" s="5" t="s">
        <v>73</v>
      </c>
      <c r="U4" s="4" t="str">
        <f>B17</f>
        <v>Enter Product 6 Name Here</v>
      </c>
      <c r="V4" s="5" t="s">
        <v>73</v>
      </c>
      <c r="X4" s="4" t="str">
        <f>B18</f>
        <v>Enter Product 7 Name Here</v>
      </c>
      <c r="Y4" s="5" t="s">
        <v>73</v>
      </c>
      <c r="AA4" s="4" t="str">
        <f>B19</f>
        <v>Enter Product 8 Name Here</v>
      </c>
      <c r="AB4" s="5" t="s">
        <v>73</v>
      </c>
      <c r="AD4" s="4" t="str">
        <f>B20</f>
        <v>Enter Product 9 Name Here</v>
      </c>
      <c r="AE4" s="5" t="s">
        <v>73</v>
      </c>
      <c r="AG4" s="4" t="str">
        <f>B21</f>
        <v>Enter Product 10 Name Here</v>
      </c>
      <c r="AH4" s="5" t="s">
        <v>73</v>
      </c>
    </row>
    <row r="5" spans="2:54" x14ac:dyDescent="0.25">
      <c r="B5" s="59" t="s">
        <v>195</v>
      </c>
      <c r="C5" s="85"/>
      <c r="F5" s="19" t="s">
        <v>257</v>
      </c>
      <c r="G5" s="14">
        <v>70</v>
      </c>
      <c r="I5" s="19" t="s">
        <v>269</v>
      </c>
      <c r="J5" s="14">
        <v>105</v>
      </c>
      <c r="L5" s="19"/>
      <c r="M5" s="14"/>
      <c r="O5" s="19"/>
      <c r="P5" s="14"/>
      <c r="R5" s="19"/>
      <c r="S5" s="14"/>
      <c r="U5" s="19"/>
      <c r="V5" s="14"/>
      <c r="X5" s="19"/>
      <c r="Y5" s="14">
        <v>0</v>
      </c>
      <c r="AA5" s="19"/>
      <c r="AB5" s="14">
        <v>0</v>
      </c>
      <c r="AD5" s="19"/>
      <c r="AE5" s="14">
        <v>0</v>
      </c>
      <c r="AG5" s="19"/>
      <c r="AH5" s="14">
        <v>0</v>
      </c>
    </row>
    <row r="6" spans="2:54" x14ac:dyDescent="0.25">
      <c r="B6" s="59" t="s">
        <v>196</v>
      </c>
      <c r="F6" s="20" t="s">
        <v>258</v>
      </c>
      <c r="G6" s="15">
        <v>2</v>
      </c>
      <c r="I6" s="20" t="s">
        <v>270</v>
      </c>
      <c r="J6" s="15">
        <v>20</v>
      </c>
      <c r="L6" s="20"/>
      <c r="M6" s="15"/>
      <c r="O6" s="20"/>
      <c r="P6" s="15"/>
      <c r="R6" s="20"/>
      <c r="S6" s="15"/>
      <c r="U6" s="20"/>
      <c r="V6" s="15"/>
      <c r="X6" s="20"/>
      <c r="Y6" s="15"/>
      <c r="AA6" s="20"/>
      <c r="AB6" s="15"/>
      <c r="AD6" s="20"/>
      <c r="AE6" s="15"/>
      <c r="AG6" s="20"/>
      <c r="AH6" s="15"/>
    </row>
    <row r="7" spans="2:54" x14ac:dyDescent="0.25">
      <c r="B7" s="59" t="s">
        <v>197</v>
      </c>
      <c r="F7" s="20" t="s">
        <v>76</v>
      </c>
      <c r="G7" s="15">
        <v>1</v>
      </c>
      <c r="I7" s="20" t="s">
        <v>258</v>
      </c>
      <c r="J7" s="15">
        <v>2</v>
      </c>
      <c r="L7" s="20"/>
      <c r="M7" s="15"/>
      <c r="O7" s="20"/>
      <c r="P7" s="15"/>
      <c r="R7" s="20"/>
      <c r="S7" s="15"/>
      <c r="U7" s="20"/>
      <c r="V7" s="15"/>
      <c r="X7" s="20"/>
      <c r="Y7" s="15"/>
      <c r="AA7" s="20"/>
      <c r="AB7" s="15"/>
      <c r="AD7" s="20"/>
      <c r="AE7" s="15"/>
      <c r="AG7" s="20"/>
      <c r="AH7" s="15"/>
    </row>
    <row r="8" spans="2:54" x14ac:dyDescent="0.25">
      <c r="B8" s="59" t="s">
        <v>198</v>
      </c>
      <c r="F8" s="20" t="s">
        <v>259</v>
      </c>
      <c r="G8" s="15">
        <v>35</v>
      </c>
      <c r="I8" s="20"/>
      <c r="J8" s="15"/>
      <c r="L8" s="20"/>
      <c r="M8" s="15"/>
      <c r="O8" s="20"/>
      <c r="P8" s="15"/>
      <c r="R8" s="20"/>
      <c r="S8" s="15"/>
      <c r="U8" s="20"/>
      <c r="V8" s="15"/>
      <c r="X8" s="20"/>
      <c r="Y8" s="15"/>
      <c r="AA8" s="20"/>
      <c r="AB8" s="15"/>
      <c r="AD8" s="20"/>
      <c r="AE8" s="15"/>
      <c r="AG8" s="20"/>
      <c r="AH8" s="15"/>
    </row>
    <row r="9" spans="2:54" x14ac:dyDescent="0.25">
      <c r="C9" s="3"/>
      <c r="D9" s="3"/>
      <c r="F9" s="20"/>
      <c r="G9" s="15"/>
      <c r="I9" s="20"/>
      <c r="J9" s="15"/>
      <c r="L9" s="20"/>
      <c r="M9" s="15"/>
      <c r="O9" s="20"/>
      <c r="P9" s="15"/>
      <c r="R9" s="20"/>
      <c r="S9" s="15"/>
      <c r="U9" s="20"/>
      <c r="V9" s="15"/>
      <c r="X9" s="20"/>
      <c r="Y9" s="15"/>
      <c r="AA9" s="20"/>
      <c r="AB9" s="15"/>
      <c r="AD9" s="20"/>
      <c r="AE9" s="15"/>
      <c r="AG9" s="20"/>
      <c r="AH9" s="15"/>
      <c r="BB9" s="2" t="s">
        <v>94</v>
      </c>
    </row>
    <row r="10" spans="2:54" x14ac:dyDescent="0.25">
      <c r="F10" s="20"/>
      <c r="G10" s="15"/>
      <c r="I10" s="20"/>
      <c r="J10" s="15"/>
      <c r="L10" s="20"/>
      <c r="M10" s="15"/>
      <c r="O10" s="20"/>
      <c r="P10" s="15"/>
      <c r="R10" s="20"/>
      <c r="S10" s="15"/>
      <c r="U10" s="20"/>
      <c r="V10" s="15"/>
      <c r="X10" s="20"/>
      <c r="Y10" s="15"/>
      <c r="AA10" s="20"/>
      <c r="AB10" s="15"/>
      <c r="AD10" s="20"/>
      <c r="AE10" s="15"/>
      <c r="AG10" s="20"/>
      <c r="AH10" s="15"/>
      <c r="BB10" s="2" t="s">
        <v>93</v>
      </c>
    </row>
    <row r="11" spans="2:54" x14ac:dyDescent="0.25">
      <c r="B11" s="3" t="s">
        <v>47</v>
      </c>
      <c r="F11" s="20"/>
      <c r="G11" s="15"/>
      <c r="I11" s="20"/>
      <c r="J11" s="15"/>
      <c r="L11" s="20"/>
      <c r="M11" s="15"/>
      <c r="O11" s="20"/>
      <c r="P11" s="15"/>
      <c r="R11" s="20"/>
      <c r="S11" s="15"/>
      <c r="U11" s="20"/>
      <c r="V11" s="15"/>
      <c r="X11" s="20"/>
      <c r="Y11" s="15"/>
      <c r="AA11" s="20"/>
      <c r="AB11" s="15"/>
      <c r="AD11" s="20"/>
      <c r="AE11" s="15"/>
      <c r="AG11" s="20"/>
      <c r="AH11" s="15"/>
      <c r="BB11" s="17" t="s">
        <v>95</v>
      </c>
    </row>
    <row r="12" spans="2:54" x14ac:dyDescent="0.25">
      <c r="B12" s="19" t="s">
        <v>256</v>
      </c>
      <c r="F12" s="20"/>
      <c r="G12" s="15"/>
      <c r="I12" s="20"/>
      <c r="J12" s="15"/>
      <c r="L12" s="20"/>
      <c r="M12" s="15"/>
      <c r="O12" s="20"/>
      <c r="P12" s="15"/>
      <c r="R12" s="20"/>
      <c r="S12" s="15"/>
      <c r="U12" s="20"/>
      <c r="V12" s="15"/>
      <c r="X12" s="20"/>
      <c r="Y12" s="15"/>
      <c r="AA12" s="20"/>
      <c r="AB12" s="15"/>
      <c r="AD12" s="20"/>
      <c r="AE12" s="15"/>
      <c r="AG12" s="20"/>
      <c r="AH12" s="15"/>
      <c r="BA12" s="2" t="str">
        <f t="shared" ref="BA12:BA21" si="0">B12</f>
        <v>Sauerkraut</v>
      </c>
      <c r="BB12" s="18">
        <f>G44*C24*$C$38</f>
        <v>242500</v>
      </c>
    </row>
    <row r="13" spans="2:54" x14ac:dyDescent="0.25">
      <c r="B13" s="20" t="s">
        <v>268</v>
      </c>
      <c r="F13" s="20"/>
      <c r="G13" s="15"/>
      <c r="I13" s="20"/>
      <c r="J13" s="15"/>
      <c r="L13" s="20"/>
      <c r="M13" s="15"/>
      <c r="O13" s="20"/>
      <c r="P13" s="15"/>
      <c r="R13" s="20"/>
      <c r="S13" s="15"/>
      <c r="U13" s="20"/>
      <c r="V13" s="15"/>
      <c r="X13" s="20"/>
      <c r="Y13" s="15"/>
      <c r="AA13" s="20"/>
      <c r="AB13" s="15"/>
      <c r="AD13" s="20"/>
      <c r="AE13" s="15"/>
      <c r="AG13" s="20"/>
      <c r="AH13" s="15"/>
      <c r="BA13" s="2" t="str">
        <f t="shared" si="0"/>
        <v>Cucumber Relish</v>
      </c>
      <c r="BB13" s="18">
        <f>J44*C25*$C$38</f>
        <v>232799.99999999997</v>
      </c>
    </row>
    <row r="14" spans="2:54" x14ac:dyDescent="0.25">
      <c r="B14" s="20" t="s">
        <v>218</v>
      </c>
      <c r="F14" s="20"/>
      <c r="G14" s="15"/>
      <c r="I14" s="20"/>
      <c r="J14" s="15"/>
      <c r="L14" s="20"/>
      <c r="M14" s="15"/>
      <c r="O14" s="20"/>
      <c r="P14" s="15"/>
      <c r="R14" s="20"/>
      <c r="S14" s="15"/>
      <c r="U14" s="20"/>
      <c r="V14" s="15"/>
      <c r="X14" s="20"/>
      <c r="Y14" s="15"/>
      <c r="AA14" s="20"/>
      <c r="AB14" s="15"/>
      <c r="AD14" s="20"/>
      <c r="AE14" s="15"/>
      <c r="AG14" s="20"/>
      <c r="AH14" s="15"/>
      <c r="BA14" s="2" t="str">
        <f t="shared" si="0"/>
        <v>Enter Product 3 Name Here</v>
      </c>
      <c r="BB14" s="18">
        <f>M44*C26*$C$38</f>
        <v>0</v>
      </c>
    </row>
    <row r="15" spans="2:54" x14ac:dyDescent="0.25">
      <c r="B15" s="20" t="s">
        <v>219</v>
      </c>
      <c r="F15" s="20"/>
      <c r="G15" s="15"/>
      <c r="I15" s="20"/>
      <c r="J15" s="15"/>
      <c r="L15" s="20"/>
      <c r="M15" s="15"/>
      <c r="O15" s="20"/>
      <c r="P15" s="15"/>
      <c r="R15" s="20"/>
      <c r="S15" s="15"/>
      <c r="U15" s="20"/>
      <c r="V15" s="15"/>
      <c r="X15" s="20"/>
      <c r="Y15" s="15"/>
      <c r="AA15" s="20"/>
      <c r="AB15" s="15"/>
      <c r="AD15" s="20"/>
      <c r="AE15" s="15"/>
      <c r="AG15" s="20"/>
      <c r="AH15" s="15"/>
      <c r="BA15" s="2" t="str">
        <f t="shared" si="0"/>
        <v>Enter Product 4 Name Here</v>
      </c>
      <c r="BB15" s="18">
        <f>P44*C27*$C$38</f>
        <v>0</v>
      </c>
    </row>
    <row r="16" spans="2:54" x14ac:dyDescent="0.25">
      <c r="B16" s="20" t="s">
        <v>220</v>
      </c>
      <c r="F16" s="20"/>
      <c r="G16" s="15"/>
      <c r="I16" s="20"/>
      <c r="J16" s="15"/>
      <c r="L16" s="20"/>
      <c r="M16" s="15"/>
      <c r="O16" s="20"/>
      <c r="P16" s="15"/>
      <c r="R16" s="20"/>
      <c r="S16" s="15"/>
      <c r="U16" s="20"/>
      <c r="V16" s="15"/>
      <c r="X16" s="20"/>
      <c r="Y16" s="15"/>
      <c r="AA16" s="20"/>
      <c r="AB16" s="15"/>
      <c r="AD16" s="20"/>
      <c r="AE16" s="15"/>
      <c r="AG16" s="20"/>
      <c r="AH16" s="15"/>
      <c r="BA16" s="2" t="str">
        <f t="shared" si="0"/>
        <v>Enter Product 5 Name Here</v>
      </c>
      <c r="BB16" s="18">
        <f>S44*C28*$C$38</f>
        <v>0</v>
      </c>
    </row>
    <row r="17" spans="2:54" x14ac:dyDescent="0.25">
      <c r="B17" s="20" t="s">
        <v>221</v>
      </c>
      <c r="F17" s="20"/>
      <c r="G17" s="15"/>
      <c r="I17" s="20"/>
      <c r="J17" s="15"/>
      <c r="L17" s="20"/>
      <c r="M17" s="15"/>
      <c r="O17" s="20"/>
      <c r="P17" s="15"/>
      <c r="R17" s="20"/>
      <c r="S17" s="15"/>
      <c r="U17" s="20"/>
      <c r="V17" s="15"/>
      <c r="X17" s="20"/>
      <c r="Y17" s="15"/>
      <c r="AA17" s="20"/>
      <c r="AB17" s="15"/>
      <c r="AD17" s="20"/>
      <c r="AE17" s="15"/>
      <c r="AG17" s="20"/>
      <c r="AH17" s="15"/>
      <c r="BA17" s="2" t="str">
        <f t="shared" si="0"/>
        <v>Enter Product 6 Name Here</v>
      </c>
      <c r="BB17" s="18">
        <f>V44*C29*$C$38</f>
        <v>0</v>
      </c>
    </row>
    <row r="18" spans="2:54" x14ac:dyDescent="0.25">
      <c r="B18" s="20" t="s">
        <v>240</v>
      </c>
      <c r="F18" s="20"/>
      <c r="G18" s="15"/>
      <c r="I18" s="20"/>
      <c r="J18" s="15"/>
      <c r="L18" s="20"/>
      <c r="M18" s="15"/>
      <c r="O18" s="20"/>
      <c r="P18" s="15"/>
      <c r="R18" s="20"/>
      <c r="S18" s="15"/>
      <c r="U18" s="20"/>
      <c r="V18" s="15"/>
      <c r="X18" s="20"/>
      <c r="Y18" s="15"/>
      <c r="AA18" s="20"/>
      <c r="AB18" s="15"/>
      <c r="AD18" s="20"/>
      <c r="AE18" s="15"/>
      <c r="AG18" s="20"/>
      <c r="AH18" s="15"/>
      <c r="BA18" s="2" t="str">
        <f t="shared" si="0"/>
        <v>Enter Product 7 Name Here</v>
      </c>
      <c r="BB18" s="18">
        <f>Y44*C30*$C$38</f>
        <v>0</v>
      </c>
    </row>
    <row r="19" spans="2:54" x14ac:dyDescent="0.25">
      <c r="B19" s="20" t="s">
        <v>241</v>
      </c>
      <c r="F19" s="20"/>
      <c r="G19" s="15"/>
      <c r="I19" s="20"/>
      <c r="J19" s="15"/>
      <c r="L19" s="20"/>
      <c r="M19" s="15"/>
      <c r="O19" s="20"/>
      <c r="P19" s="15"/>
      <c r="R19" s="20"/>
      <c r="S19" s="15"/>
      <c r="U19" s="20"/>
      <c r="V19" s="15"/>
      <c r="X19" s="20"/>
      <c r="Y19" s="15"/>
      <c r="AA19" s="20"/>
      <c r="AB19" s="15"/>
      <c r="AD19" s="20"/>
      <c r="AE19" s="15"/>
      <c r="AG19" s="20"/>
      <c r="AH19" s="15"/>
      <c r="BA19" s="2" t="str">
        <f t="shared" si="0"/>
        <v>Enter Product 8 Name Here</v>
      </c>
      <c r="BB19" s="18">
        <f>AB44*C31*$C$38</f>
        <v>0</v>
      </c>
    </row>
    <row r="20" spans="2:54" x14ac:dyDescent="0.25">
      <c r="B20" s="20" t="s">
        <v>242</v>
      </c>
      <c r="F20" s="20"/>
      <c r="G20" s="15"/>
      <c r="I20" s="20"/>
      <c r="J20" s="15"/>
      <c r="L20" s="20"/>
      <c r="M20" s="15"/>
      <c r="O20" s="20"/>
      <c r="P20" s="15"/>
      <c r="R20" s="20"/>
      <c r="S20" s="15"/>
      <c r="U20" s="20"/>
      <c r="V20" s="15"/>
      <c r="X20" s="20"/>
      <c r="Y20" s="15"/>
      <c r="AA20" s="20"/>
      <c r="AB20" s="15"/>
      <c r="AD20" s="20"/>
      <c r="AE20" s="15"/>
      <c r="AG20" s="20"/>
      <c r="AH20" s="15"/>
      <c r="BA20" s="2" t="str">
        <f t="shared" si="0"/>
        <v>Enter Product 9 Name Here</v>
      </c>
      <c r="BB20" s="18">
        <f>AE44*C32*$C$38</f>
        <v>0</v>
      </c>
    </row>
    <row r="21" spans="2:54" x14ac:dyDescent="0.25">
      <c r="B21" s="21" t="s">
        <v>243</v>
      </c>
      <c r="F21" s="20"/>
      <c r="G21" s="15"/>
      <c r="I21" s="20"/>
      <c r="J21" s="15"/>
      <c r="L21" s="20"/>
      <c r="M21" s="15"/>
      <c r="O21" s="20"/>
      <c r="P21" s="15"/>
      <c r="R21" s="20"/>
      <c r="S21" s="15"/>
      <c r="U21" s="20"/>
      <c r="V21" s="15"/>
      <c r="X21" s="20"/>
      <c r="Y21" s="15"/>
      <c r="AA21" s="20"/>
      <c r="AB21" s="15"/>
      <c r="AD21" s="20"/>
      <c r="AE21" s="15"/>
      <c r="AG21" s="20"/>
      <c r="AH21" s="15"/>
      <c r="BA21" s="2" t="str">
        <f t="shared" si="0"/>
        <v>Enter Product 10 Name Here</v>
      </c>
      <c r="BB21" s="18">
        <f>AH44*C33*$C$38</f>
        <v>0</v>
      </c>
    </row>
    <row r="22" spans="2:54" x14ac:dyDescent="0.25">
      <c r="B22" s="3"/>
      <c r="C22" s="3"/>
      <c r="D22" s="3"/>
      <c r="F22" s="20"/>
      <c r="G22" s="15"/>
      <c r="I22" s="20"/>
      <c r="J22" s="15"/>
      <c r="L22" s="20"/>
      <c r="M22" s="15"/>
      <c r="O22" s="20"/>
      <c r="P22" s="15"/>
      <c r="R22" s="20"/>
      <c r="S22" s="15"/>
      <c r="U22" s="20"/>
      <c r="V22" s="15"/>
      <c r="X22" s="20"/>
      <c r="Y22" s="15"/>
      <c r="AA22" s="20"/>
      <c r="AB22" s="15"/>
      <c r="AD22" s="20"/>
      <c r="AE22" s="15"/>
      <c r="AG22" s="20"/>
      <c r="AH22" s="15"/>
    </row>
    <row r="23" spans="2:54" x14ac:dyDescent="0.25">
      <c r="B23" s="3" t="s">
        <v>77</v>
      </c>
      <c r="F23" s="157" t="s">
        <v>78</v>
      </c>
      <c r="G23" s="158">
        <f>SUM(G5:G22)</f>
        <v>108</v>
      </c>
      <c r="I23" s="157" t="s">
        <v>78</v>
      </c>
      <c r="J23" s="158">
        <f>SUM(J5:J22)</f>
        <v>127</v>
      </c>
      <c r="L23" s="157" t="s">
        <v>78</v>
      </c>
      <c r="M23" s="158">
        <f>SUM(M5:M22)</f>
        <v>0</v>
      </c>
      <c r="O23" s="157" t="s">
        <v>78</v>
      </c>
      <c r="P23" s="158">
        <f>SUM(P5:P22)</f>
        <v>0</v>
      </c>
      <c r="R23" s="157" t="s">
        <v>78</v>
      </c>
      <c r="S23" s="158">
        <f>SUM(S5:S22)</f>
        <v>0</v>
      </c>
      <c r="U23" s="157" t="s">
        <v>78</v>
      </c>
      <c r="V23" s="158">
        <f>SUM(V5:V22)</f>
        <v>0</v>
      </c>
      <c r="X23" s="157" t="s">
        <v>78</v>
      </c>
      <c r="Y23" s="158">
        <f>SUM(Y5:Y22)</f>
        <v>0</v>
      </c>
      <c r="AA23" s="157" t="s">
        <v>78</v>
      </c>
      <c r="AB23" s="158">
        <f>SUM(AB5:AB22)</f>
        <v>0</v>
      </c>
      <c r="AD23" s="157" t="s">
        <v>78</v>
      </c>
      <c r="AE23" s="158">
        <f>SUM(AE5:AE22)</f>
        <v>0</v>
      </c>
      <c r="AG23" s="157" t="s">
        <v>78</v>
      </c>
      <c r="AH23" s="158">
        <f>SUM(AH5:AH22)</f>
        <v>0</v>
      </c>
      <c r="BB23" s="17" t="s">
        <v>96</v>
      </c>
    </row>
    <row r="24" spans="2:54" x14ac:dyDescent="0.25">
      <c r="B24" s="2" t="str">
        <f t="shared" ref="B24:B33" si="1">B12</f>
        <v>Sauerkraut</v>
      </c>
      <c r="C24" s="24">
        <v>0.5</v>
      </c>
      <c r="D24" s="84"/>
      <c r="F24" s="9"/>
      <c r="G24" s="10"/>
      <c r="I24" s="9"/>
      <c r="J24" s="10"/>
      <c r="L24" s="9"/>
      <c r="M24" s="10"/>
      <c r="O24" s="9"/>
      <c r="P24" s="10"/>
      <c r="R24" s="9"/>
      <c r="S24" s="10"/>
      <c r="U24" s="9"/>
      <c r="V24" s="10"/>
      <c r="X24" s="9"/>
      <c r="Y24" s="10"/>
      <c r="AA24" s="9"/>
      <c r="AB24" s="10"/>
      <c r="AD24" s="9"/>
      <c r="AE24" s="10"/>
      <c r="AG24" s="9"/>
      <c r="AH24" s="10"/>
      <c r="BA24" s="2" t="str">
        <f>BA12</f>
        <v>Sauerkraut</v>
      </c>
      <c r="BB24" s="18">
        <f>G40*C24*$C$38</f>
        <v>129000</v>
      </c>
    </row>
    <row r="25" spans="2:54" x14ac:dyDescent="0.25">
      <c r="B25" s="2" t="str">
        <f t="shared" si="1"/>
        <v>Cucumber Relish</v>
      </c>
      <c r="C25" s="25">
        <v>0.5</v>
      </c>
      <c r="D25" s="84"/>
      <c r="F25" s="9" t="s">
        <v>79</v>
      </c>
      <c r="G25" s="159">
        <v>100</v>
      </c>
      <c r="I25" s="9" t="s">
        <v>79</v>
      </c>
      <c r="J25" s="159">
        <v>60</v>
      </c>
      <c r="L25" s="9" t="s">
        <v>79</v>
      </c>
      <c r="M25" s="159"/>
      <c r="O25" s="9" t="s">
        <v>79</v>
      </c>
      <c r="P25" s="159"/>
      <c r="R25" s="9" t="s">
        <v>79</v>
      </c>
      <c r="S25" s="159"/>
      <c r="U25" s="9" t="s">
        <v>79</v>
      </c>
      <c r="V25" s="159"/>
      <c r="X25" s="9" t="s">
        <v>79</v>
      </c>
      <c r="Y25" s="159"/>
      <c r="AA25" s="9" t="s">
        <v>79</v>
      </c>
      <c r="AB25" s="159"/>
      <c r="AD25" s="9" t="s">
        <v>79</v>
      </c>
      <c r="AE25" s="159"/>
      <c r="AG25" s="9" t="s">
        <v>79</v>
      </c>
      <c r="AH25" s="159"/>
      <c r="BA25" s="2" t="str">
        <f t="shared" ref="BA25:BA33" si="2">BA13</f>
        <v>Cucumber Relish</v>
      </c>
      <c r="BB25" s="18">
        <f>J40*C25*$C$38</f>
        <v>138500</v>
      </c>
    </row>
    <row r="26" spans="2:54" x14ac:dyDescent="0.25">
      <c r="B26" s="2" t="str">
        <f t="shared" si="1"/>
        <v>Enter Product 3 Name Here</v>
      </c>
      <c r="C26" s="25">
        <v>0</v>
      </c>
      <c r="D26" s="84"/>
      <c r="F26" s="9"/>
      <c r="G26" s="11"/>
      <c r="I26" s="9"/>
      <c r="J26" s="11"/>
      <c r="L26" s="9"/>
      <c r="M26" s="11"/>
      <c r="O26" s="9"/>
      <c r="P26" s="11"/>
      <c r="R26" s="9"/>
      <c r="S26" s="11"/>
      <c r="U26" s="9"/>
      <c r="V26" s="11"/>
      <c r="X26" s="9"/>
      <c r="Y26" s="11"/>
      <c r="AA26" s="9"/>
      <c r="AB26" s="11"/>
      <c r="AD26" s="9"/>
      <c r="AE26" s="11"/>
      <c r="AG26" s="9"/>
      <c r="AH26" s="11"/>
      <c r="BA26" s="2" t="str">
        <f t="shared" si="2"/>
        <v>Enter Product 3 Name Here</v>
      </c>
      <c r="BB26" s="18">
        <f>M40*C26*$C$38</f>
        <v>0</v>
      </c>
    </row>
    <row r="27" spans="2:54" x14ac:dyDescent="0.25">
      <c r="B27" s="2" t="str">
        <f t="shared" si="1"/>
        <v>Enter Product 4 Name Here</v>
      </c>
      <c r="C27" s="25">
        <v>0</v>
      </c>
      <c r="D27" s="84"/>
      <c r="F27" s="9" t="s">
        <v>80</v>
      </c>
      <c r="G27" s="159">
        <v>4</v>
      </c>
      <c r="I27" s="9" t="s">
        <v>80</v>
      </c>
      <c r="J27" s="159">
        <v>4</v>
      </c>
      <c r="L27" s="9" t="s">
        <v>80</v>
      </c>
      <c r="M27" s="159"/>
      <c r="O27" s="9" t="s">
        <v>80</v>
      </c>
      <c r="P27" s="159"/>
      <c r="R27" s="9" t="s">
        <v>80</v>
      </c>
      <c r="S27" s="159"/>
      <c r="U27" s="9" t="s">
        <v>80</v>
      </c>
      <c r="V27" s="159"/>
      <c r="X27" s="9" t="s">
        <v>80</v>
      </c>
      <c r="Y27" s="159"/>
      <c r="AA27" s="9" t="s">
        <v>80</v>
      </c>
      <c r="AB27" s="159"/>
      <c r="AD27" s="9" t="s">
        <v>80</v>
      </c>
      <c r="AE27" s="159"/>
      <c r="AG27" s="9" t="s">
        <v>80</v>
      </c>
      <c r="AH27" s="159"/>
      <c r="BA27" s="2" t="str">
        <f t="shared" si="2"/>
        <v>Enter Product 4 Name Here</v>
      </c>
      <c r="BB27" s="18">
        <f>P40*C27*$C$38</f>
        <v>0</v>
      </c>
    </row>
    <row r="28" spans="2:54" x14ac:dyDescent="0.25">
      <c r="B28" s="2" t="str">
        <f t="shared" si="1"/>
        <v>Enter Product 5 Name Here</v>
      </c>
      <c r="C28" s="25">
        <v>0</v>
      </c>
      <c r="D28" s="84"/>
      <c r="F28" s="9"/>
      <c r="G28" s="11"/>
      <c r="I28" s="9"/>
      <c r="J28" s="11"/>
      <c r="L28" s="9"/>
      <c r="M28" s="11"/>
      <c r="O28" s="9"/>
      <c r="P28" s="11"/>
      <c r="R28" s="9"/>
      <c r="S28" s="11"/>
      <c r="U28" s="9"/>
      <c r="V28" s="11"/>
      <c r="X28" s="9"/>
      <c r="Y28" s="11"/>
      <c r="AA28" s="9"/>
      <c r="AB28" s="11"/>
      <c r="AD28" s="9"/>
      <c r="AE28" s="11"/>
      <c r="AG28" s="9"/>
      <c r="AH28" s="11"/>
      <c r="BA28" s="2" t="str">
        <f t="shared" si="2"/>
        <v>Enter Product 5 Name Here</v>
      </c>
      <c r="BB28" s="18">
        <f>S40*C28*$C$38</f>
        <v>0</v>
      </c>
    </row>
    <row r="29" spans="2:54" x14ac:dyDescent="0.25">
      <c r="B29" s="2" t="str">
        <f t="shared" si="1"/>
        <v>Enter Product 6 Name Here</v>
      </c>
      <c r="C29" s="25">
        <v>0</v>
      </c>
      <c r="D29" s="84"/>
      <c r="F29" s="9" t="s">
        <v>90</v>
      </c>
      <c r="G29" s="11">
        <f>G25*G27</f>
        <v>400</v>
      </c>
      <c r="I29" s="9" t="s">
        <v>90</v>
      </c>
      <c r="J29" s="11">
        <f>J25*J27</f>
        <v>240</v>
      </c>
      <c r="L29" s="9" t="s">
        <v>90</v>
      </c>
      <c r="M29" s="11">
        <f>M25*M27</f>
        <v>0</v>
      </c>
      <c r="O29" s="9" t="s">
        <v>90</v>
      </c>
      <c r="P29" s="11">
        <f>P25*P27</f>
        <v>0</v>
      </c>
      <c r="R29" s="9" t="s">
        <v>90</v>
      </c>
      <c r="S29" s="11">
        <f>S25*S27</f>
        <v>0</v>
      </c>
      <c r="U29" s="9" t="s">
        <v>90</v>
      </c>
      <c r="V29" s="11">
        <f>V25*V27</f>
        <v>0</v>
      </c>
      <c r="X29" s="9" t="s">
        <v>90</v>
      </c>
      <c r="Y29" s="11">
        <f>Y25*Y27</f>
        <v>0</v>
      </c>
      <c r="AA29" s="9" t="s">
        <v>90</v>
      </c>
      <c r="AB29" s="11">
        <f>AB25*AB27</f>
        <v>0</v>
      </c>
      <c r="AD29" s="9" t="s">
        <v>90</v>
      </c>
      <c r="AE29" s="11">
        <f>AE25*AE27</f>
        <v>0</v>
      </c>
      <c r="AG29" s="9" t="s">
        <v>90</v>
      </c>
      <c r="AH29" s="11">
        <f>AH25*AH27</f>
        <v>0</v>
      </c>
      <c r="BA29" s="2" t="str">
        <f t="shared" si="2"/>
        <v>Enter Product 6 Name Here</v>
      </c>
      <c r="BB29" s="18">
        <f>V40*C29*$C$38</f>
        <v>0</v>
      </c>
    </row>
    <row r="30" spans="2:54" x14ac:dyDescent="0.25">
      <c r="B30" s="2" t="str">
        <f t="shared" si="1"/>
        <v>Enter Product 7 Name Here</v>
      </c>
      <c r="C30" s="25">
        <v>0</v>
      </c>
      <c r="D30" s="84"/>
      <c r="F30" s="9"/>
      <c r="G30" s="10"/>
      <c r="I30" s="9"/>
      <c r="J30" s="10"/>
      <c r="L30" s="9"/>
      <c r="M30" s="10"/>
      <c r="O30" s="9"/>
      <c r="P30" s="10"/>
      <c r="R30" s="9"/>
      <c r="S30" s="10"/>
      <c r="U30" s="9"/>
      <c r="V30" s="10"/>
      <c r="X30" s="9"/>
      <c r="Y30" s="10"/>
      <c r="AA30" s="9"/>
      <c r="AB30" s="10"/>
      <c r="AD30" s="9"/>
      <c r="AE30" s="10"/>
      <c r="AG30" s="9"/>
      <c r="AH30" s="10"/>
      <c r="BA30" s="2" t="str">
        <f t="shared" si="2"/>
        <v>Enter Product 7 Name Here</v>
      </c>
      <c r="BB30" s="18">
        <f>Y40*C30*$C$38</f>
        <v>0</v>
      </c>
    </row>
    <row r="31" spans="2:54" x14ac:dyDescent="0.25">
      <c r="B31" s="2" t="str">
        <f t="shared" si="1"/>
        <v>Enter Product 8 Name Here</v>
      </c>
      <c r="C31" s="25">
        <v>0</v>
      </c>
      <c r="D31" s="84"/>
      <c r="F31" s="9" t="s">
        <v>89</v>
      </c>
      <c r="G31" s="160">
        <v>0.03</v>
      </c>
      <c r="I31" s="9" t="s">
        <v>89</v>
      </c>
      <c r="J31" s="160">
        <v>0.03</v>
      </c>
      <c r="L31" s="9" t="s">
        <v>89</v>
      </c>
      <c r="M31" s="160">
        <v>0.03</v>
      </c>
      <c r="O31" s="9" t="s">
        <v>89</v>
      </c>
      <c r="P31" s="160">
        <v>0.03</v>
      </c>
      <c r="R31" s="9" t="s">
        <v>89</v>
      </c>
      <c r="S31" s="160">
        <v>0.03</v>
      </c>
      <c r="U31" s="9" t="s">
        <v>89</v>
      </c>
      <c r="V31" s="160">
        <v>0.03</v>
      </c>
      <c r="X31" s="9" t="s">
        <v>89</v>
      </c>
      <c r="Y31" s="160">
        <v>0.03</v>
      </c>
      <c r="AA31" s="9" t="s">
        <v>89</v>
      </c>
      <c r="AB31" s="160">
        <v>0.03</v>
      </c>
      <c r="AD31" s="9" t="s">
        <v>89</v>
      </c>
      <c r="AE31" s="160">
        <v>0.03</v>
      </c>
      <c r="AG31" s="9" t="s">
        <v>89</v>
      </c>
      <c r="AH31" s="160">
        <v>0.03</v>
      </c>
      <c r="BA31" s="2" t="str">
        <f t="shared" si="2"/>
        <v>Enter Product 8 Name Here</v>
      </c>
      <c r="BB31" s="18">
        <f>AB40*C31*$C$38</f>
        <v>0</v>
      </c>
    </row>
    <row r="32" spans="2:54" x14ac:dyDescent="0.25">
      <c r="B32" s="2" t="str">
        <f t="shared" si="1"/>
        <v>Enter Product 9 Name Here</v>
      </c>
      <c r="C32" s="25">
        <v>0</v>
      </c>
      <c r="D32" s="84"/>
      <c r="F32" s="9"/>
      <c r="G32" s="10"/>
      <c r="I32" s="9"/>
      <c r="J32" s="10"/>
      <c r="L32" s="9"/>
      <c r="M32" s="10"/>
      <c r="O32" s="9"/>
      <c r="P32" s="10"/>
      <c r="R32" s="9"/>
      <c r="S32" s="10"/>
      <c r="U32" s="9"/>
      <c r="V32" s="10"/>
      <c r="X32" s="9"/>
      <c r="Y32" s="10"/>
      <c r="AA32" s="9"/>
      <c r="AB32" s="10"/>
      <c r="AD32" s="9"/>
      <c r="AE32" s="10"/>
      <c r="AG32" s="9"/>
      <c r="AH32" s="10"/>
      <c r="BA32" s="2" t="str">
        <f t="shared" si="2"/>
        <v>Enter Product 9 Name Here</v>
      </c>
      <c r="BB32" s="18">
        <f>AE40*C32*$C$38</f>
        <v>0</v>
      </c>
    </row>
    <row r="33" spans="2:54" x14ac:dyDescent="0.25">
      <c r="B33" s="2" t="str">
        <f t="shared" si="1"/>
        <v>Enter Product 10 Name Here</v>
      </c>
      <c r="C33" s="26">
        <v>0</v>
      </c>
      <c r="D33" s="84"/>
      <c r="F33" s="9" t="s">
        <v>91</v>
      </c>
      <c r="G33" s="16">
        <f>G29*(1-G31)</f>
        <v>388</v>
      </c>
      <c r="I33" s="9" t="s">
        <v>91</v>
      </c>
      <c r="J33" s="16">
        <f>J29*(1-J31)</f>
        <v>232.79999999999998</v>
      </c>
      <c r="L33" s="9" t="s">
        <v>91</v>
      </c>
      <c r="M33" s="16">
        <f>M29*(1-M31)</f>
        <v>0</v>
      </c>
      <c r="O33" s="9" t="s">
        <v>91</v>
      </c>
      <c r="P33" s="16">
        <f>P29*(1-P31)</f>
        <v>0</v>
      </c>
      <c r="R33" s="9" t="s">
        <v>91</v>
      </c>
      <c r="S33" s="16">
        <f>S29*(1-S31)</f>
        <v>0</v>
      </c>
      <c r="U33" s="9" t="s">
        <v>91</v>
      </c>
      <c r="V33" s="16">
        <f>V29*(1-V31)</f>
        <v>0</v>
      </c>
      <c r="X33" s="9" t="s">
        <v>91</v>
      </c>
      <c r="Y33" s="16">
        <f>Y29*(1-Y31)</f>
        <v>0</v>
      </c>
      <c r="AA33" s="9" t="s">
        <v>91</v>
      </c>
      <c r="AB33" s="16">
        <f>AB29*(1-AB31)</f>
        <v>0</v>
      </c>
      <c r="AD33" s="9" t="s">
        <v>91</v>
      </c>
      <c r="AE33" s="16">
        <f>AE29*(1-AE31)</f>
        <v>0</v>
      </c>
      <c r="AG33" s="9" t="s">
        <v>91</v>
      </c>
      <c r="AH33" s="16">
        <f>AH29*(1-AH31)</f>
        <v>0</v>
      </c>
      <c r="BA33" s="2" t="str">
        <f t="shared" si="2"/>
        <v>Enter Product 10 Name Here</v>
      </c>
      <c r="BB33" s="18">
        <f>AH40*C33*$C$38</f>
        <v>0</v>
      </c>
    </row>
    <row r="34" spans="2:54" x14ac:dyDescent="0.25">
      <c r="B34" s="6" t="str">
        <f>IF(C34&gt;1,"EXCEEDS PLANT CAPACITY", " ")</f>
        <v xml:space="preserve"> </v>
      </c>
      <c r="C34" s="27">
        <f>SUM(C24:C33)</f>
        <v>1</v>
      </c>
      <c r="D34" s="22"/>
      <c r="F34" s="9"/>
      <c r="G34" s="10"/>
      <c r="I34" s="9"/>
      <c r="J34" s="10"/>
      <c r="L34" s="9"/>
      <c r="M34" s="10"/>
      <c r="O34" s="9"/>
      <c r="P34" s="10"/>
      <c r="R34" s="9"/>
      <c r="S34" s="10"/>
      <c r="U34" s="9"/>
      <c r="V34" s="10"/>
      <c r="X34" s="9"/>
      <c r="Y34" s="10"/>
      <c r="AA34" s="9"/>
      <c r="AB34" s="10"/>
      <c r="AD34" s="9"/>
      <c r="AE34" s="10"/>
      <c r="AG34" s="9"/>
      <c r="AH34" s="10"/>
    </row>
    <row r="35" spans="2:54" x14ac:dyDescent="0.25">
      <c r="C35" s="23"/>
      <c r="F35" s="9" t="s">
        <v>81</v>
      </c>
      <c r="G35" s="161">
        <v>1.5</v>
      </c>
      <c r="I35" s="9" t="s">
        <v>81</v>
      </c>
      <c r="J35" s="161">
        <v>2.5</v>
      </c>
      <c r="L35" s="9" t="s">
        <v>81</v>
      </c>
      <c r="M35" s="161"/>
      <c r="O35" s="9" t="s">
        <v>81</v>
      </c>
      <c r="P35" s="161"/>
      <c r="R35" s="9" t="s">
        <v>81</v>
      </c>
      <c r="S35" s="161"/>
      <c r="U35" s="9" t="s">
        <v>81</v>
      </c>
      <c r="V35" s="161"/>
      <c r="X35" s="9" t="s">
        <v>81</v>
      </c>
      <c r="Y35" s="161"/>
      <c r="AA35" s="9" t="s">
        <v>81</v>
      </c>
      <c r="AB35" s="161"/>
      <c r="AD35" s="9" t="s">
        <v>81</v>
      </c>
      <c r="AE35" s="161"/>
      <c r="AG35" s="9" t="s">
        <v>81</v>
      </c>
      <c r="AH35" s="161"/>
    </row>
    <row r="36" spans="2:54" x14ac:dyDescent="0.25">
      <c r="B36" s="2" t="s">
        <v>102</v>
      </c>
      <c r="C36" s="86">
        <v>8</v>
      </c>
      <c r="F36" s="9" t="s">
        <v>82</v>
      </c>
      <c r="G36" s="11"/>
      <c r="I36" s="9" t="s">
        <v>82</v>
      </c>
      <c r="J36" s="11"/>
      <c r="L36" s="9" t="s">
        <v>82</v>
      </c>
      <c r="M36" s="11"/>
      <c r="O36" s="9" t="s">
        <v>82</v>
      </c>
      <c r="P36" s="11"/>
      <c r="R36" s="9" t="s">
        <v>82</v>
      </c>
      <c r="S36" s="11"/>
      <c r="U36" s="9" t="s">
        <v>82</v>
      </c>
      <c r="V36" s="11"/>
      <c r="X36" s="9" t="s">
        <v>82</v>
      </c>
      <c r="Y36" s="11"/>
      <c r="AA36" s="9" t="s">
        <v>82</v>
      </c>
      <c r="AB36" s="11"/>
      <c r="AD36" s="9" t="s">
        <v>82</v>
      </c>
      <c r="AE36" s="11"/>
      <c r="AG36" s="9" t="s">
        <v>82</v>
      </c>
      <c r="AH36" s="11"/>
    </row>
    <row r="37" spans="2:54" x14ac:dyDescent="0.25">
      <c r="B37" s="7"/>
      <c r="C37" s="23"/>
      <c r="F37" s="9"/>
      <c r="G37" s="11"/>
      <c r="I37" s="9"/>
      <c r="J37" s="11"/>
      <c r="L37" s="9"/>
      <c r="M37" s="11"/>
      <c r="O37" s="9"/>
      <c r="P37" s="11"/>
      <c r="R37" s="9"/>
      <c r="S37" s="11"/>
      <c r="U37" s="9"/>
      <c r="V37" s="11"/>
      <c r="X37" s="9"/>
      <c r="Y37" s="11"/>
      <c r="AA37" s="9"/>
      <c r="AB37" s="11"/>
      <c r="AD37" s="9"/>
      <c r="AE37" s="11"/>
      <c r="AG37" s="9"/>
      <c r="AH37" s="11"/>
    </row>
    <row r="38" spans="2:54" x14ac:dyDescent="0.25">
      <c r="B38" s="2" t="s">
        <v>88</v>
      </c>
      <c r="C38" s="86">
        <v>250</v>
      </c>
      <c r="D38" s="8"/>
      <c r="F38" s="9" t="s">
        <v>83</v>
      </c>
      <c r="G38" s="10">
        <f>IFERROR((G23/G25)+G35,0)</f>
        <v>2.58</v>
      </c>
      <c r="I38" s="9" t="s">
        <v>83</v>
      </c>
      <c r="J38" s="10">
        <f>IFERROR((J23/J25)+J35,0)</f>
        <v>4.6166666666666671</v>
      </c>
      <c r="L38" s="9" t="s">
        <v>83</v>
      </c>
      <c r="M38" s="10">
        <f>IFERROR((M23/M25)+M35,0)</f>
        <v>0</v>
      </c>
      <c r="O38" s="9" t="s">
        <v>83</v>
      </c>
      <c r="P38" s="10">
        <f>IFERROR((P23/P25)+P35,0)</f>
        <v>0</v>
      </c>
      <c r="R38" s="9" t="s">
        <v>83</v>
      </c>
      <c r="S38" s="10">
        <f>IFERROR((S23/S25)+S35,0)</f>
        <v>0</v>
      </c>
      <c r="U38" s="9" t="s">
        <v>83</v>
      </c>
      <c r="V38" s="10">
        <f>IFERROR((V23/V25)+V35,0)</f>
        <v>0</v>
      </c>
      <c r="X38" s="9" t="s">
        <v>83</v>
      </c>
      <c r="Y38" s="10">
        <f>IFERROR((Y23/Y25)+Y35,0)</f>
        <v>0</v>
      </c>
      <c r="AA38" s="9" t="s">
        <v>83</v>
      </c>
      <c r="AB38" s="10">
        <f>IFERROR((AB23/AB25)+AB35,0)</f>
        <v>0</v>
      </c>
      <c r="AD38" s="9" t="s">
        <v>83</v>
      </c>
      <c r="AE38" s="10">
        <f>IFERROR((AE23/AE25)+AE35,0)</f>
        <v>0</v>
      </c>
      <c r="AG38" s="9" t="s">
        <v>83</v>
      </c>
      <c r="AH38" s="10">
        <f>IFERROR((AH23/AH25)+AH35,0)</f>
        <v>0</v>
      </c>
    </row>
    <row r="39" spans="2:54" x14ac:dyDescent="0.25">
      <c r="B39" s="7"/>
      <c r="C39" s="8"/>
      <c r="D39" s="8"/>
      <c r="F39" s="9"/>
      <c r="G39" s="10"/>
      <c r="I39" s="9"/>
      <c r="J39" s="10"/>
      <c r="L39" s="9"/>
      <c r="M39" s="10"/>
      <c r="O39" s="9"/>
      <c r="P39" s="10"/>
      <c r="R39" s="9"/>
      <c r="S39" s="10"/>
      <c r="U39" s="9"/>
      <c r="V39" s="10"/>
      <c r="X39" s="9"/>
      <c r="Y39" s="10"/>
      <c r="AA39" s="9"/>
      <c r="AB39" s="10"/>
      <c r="AD39" s="9"/>
      <c r="AE39" s="10"/>
      <c r="AG39" s="9"/>
      <c r="AH39" s="10"/>
    </row>
    <row r="40" spans="2:54" x14ac:dyDescent="0.25">
      <c r="B40" s="7" t="s">
        <v>104</v>
      </c>
      <c r="C40" s="32" t="s">
        <v>110</v>
      </c>
      <c r="D40" s="32" t="s">
        <v>103</v>
      </c>
      <c r="F40" s="9" t="s">
        <v>87</v>
      </c>
      <c r="G40" s="10">
        <f>G38*G29</f>
        <v>1032</v>
      </c>
      <c r="I40" s="9" t="s">
        <v>87</v>
      </c>
      <c r="J40" s="10">
        <f>J38*J29</f>
        <v>1108</v>
      </c>
      <c r="L40" s="9" t="s">
        <v>87</v>
      </c>
      <c r="M40" s="10">
        <f>M38*M29</f>
        <v>0</v>
      </c>
      <c r="O40" s="9" t="s">
        <v>87</v>
      </c>
      <c r="P40" s="10">
        <f>P38*P29</f>
        <v>0</v>
      </c>
      <c r="R40" s="9" t="s">
        <v>87</v>
      </c>
      <c r="S40" s="10">
        <f>S38*S29</f>
        <v>0</v>
      </c>
      <c r="U40" s="9" t="s">
        <v>87</v>
      </c>
      <c r="V40" s="10">
        <f>V38*V29</f>
        <v>0</v>
      </c>
      <c r="X40" s="9" t="s">
        <v>87</v>
      </c>
      <c r="Y40" s="10">
        <f>Y38*Y29</f>
        <v>0</v>
      </c>
      <c r="AA40" s="9" t="s">
        <v>87</v>
      </c>
      <c r="AB40" s="10">
        <f>AB38*AB29</f>
        <v>0</v>
      </c>
      <c r="AD40" s="9" t="s">
        <v>87</v>
      </c>
      <c r="AE40" s="10">
        <f>AE38*AE29</f>
        <v>0</v>
      </c>
      <c r="AG40" s="9" t="s">
        <v>87</v>
      </c>
      <c r="AH40" s="10">
        <f>AH38*AH29</f>
        <v>0</v>
      </c>
    </row>
    <row r="41" spans="2:54" x14ac:dyDescent="0.25">
      <c r="B41" s="87" t="s">
        <v>105</v>
      </c>
      <c r="C41" s="30">
        <v>2</v>
      </c>
      <c r="D41" s="28">
        <v>15</v>
      </c>
      <c r="F41" s="9"/>
      <c r="G41" s="11"/>
      <c r="I41" s="9"/>
      <c r="J41" s="11"/>
      <c r="L41" s="9"/>
      <c r="M41" s="11"/>
      <c r="O41" s="9"/>
      <c r="P41" s="11"/>
      <c r="R41" s="9"/>
      <c r="S41" s="11"/>
      <c r="U41" s="9"/>
      <c r="V41" s="11"/>
      <c r="X41" s="9"/>
      <c r="Y41" s="11"/>
      <c r="AA41" s="9"/>
      <c r="AB41" s="11"/>
      <c r="AD41" s="9"/>
      <c r="AE41" s="11"/>
      <c r="AG41" s="9"/>
      <c r="AH41" s="11"/>
    </row>
    <row r="42" spans="2:54" x14ac:dyDescent="0.25">
      <c r="B42" s="88" t="s">
        <v>106</v>
      </c>
      <c r="C42" s="89">
        <v>1</v>
      </c>
      <c r="D42" s="90">
        <v>15</v>
      </c>
      <c r="F42" s="9" t="s">
        <v>84</v>
      </c>
      <c r="G42" s="161">
        <v>5</v>
      </c>
      <c r="I42" s="9" t="s">
        <v>84</v>
      </c>
      <c r="J42" s="161">
        <v>8</v>
      </c>
      <c r="L42" s="9" t="s">
        <v>84</v>
      </c>
      <c r="M42" s="161"/>
      <c r="O42" s="9" t="s">
        <v>84</v>
      </c>
      <c r="P42" s="161"/>
      <c r="R42" s="9" t="s">
        <v>84</v>
      </c>
      <c r="S42" s="161"/>
      <c r="U42" s="9" t="s">
        <v>84</v>
      </c>
      <c r="V42" s="161"/>
      <c r="X42" s="9" t="s">
        <v>84</v>
      </c>
      <c r="Y42" s="161"/>
      <c r="AA42" s="9" t="s">
        <v>84</v>
      </c>
      <c r="AB42" s="161"/>
      <c r="AD42" s="9" t="s">
        <v>84</v>
      </c>
      <c r="AE42" s="161"/>
      <c r="AG42" s="9" t="s">
        <v>84</v>
      </c>
      <c r="AH42" s="161"/>
    </row>
    <row r="43" spans="2:54" x14ac:dyDescent="0.25">
      <c r="B43" s="88"/>
      <c r="C43" s="31"/>
      <c r="D43" s="29"/>
      <c r="F43" s="9"/>
      <c r="G43" s="10"/>
      <c r="I43" s="9"/>
      <c r="J43" s="10"/>
      <c r="L43" s="9"/>
      <c r="M43" s="10"/>
      <c r="O43" s="9"/>
      <c r="P43" s="10"/>
      <c r="R43" s="9"/>
      <c r="S43" s="10"/>
      <c r="U43" s="9"/>
      <c r="V43" s="10"/>
      <c r="X43" s="9"/>
      <c r="Y43" s="10"/>
      <c r="AA43" s="9"/>
      <c r="AB43" s="10"/>
      <c r="AD43" s="9"/>
      <c r="AE43" s="10"/>
      <c r="AG43" s="9"/>
      <c r="AH43" s="10"/>
    </row>
    <row r="44" spans="2:54" x14ac:dyDescent="0.25">
      <c r="B44" s="88"/>
      <c r="C44" s="89"/>
      <c r="D44" s="90"/>
      <c r="F44" s="9" t="s">
        <v>92</v>
      </c>
      <c r="G44" s="10">
        <f>G42*G33</f>
        <v>1940</v>
      </c>
      <c r="I44" s="9" t="s">
        <v>92</v>
      </c>
      <c r="J44" s="10">
        <f>J42*J33</f>
        <v>1862.3999999999999</v>
      </c>
      <c r="L44" s="9" t="s">
        <v>92</v>
      </c>
      <c r="M44" s="10">
        <f>M42*M33</f>
        <v>0</v>
      </c>
      <c r="O44" s="9" t="s">
        <v>92</v>
      </c>
      <c r="P44" s="10">
        <f>P42*P33</f>
        <v>0</v>
      </c>
      <c r="R44" s="9" t="s">
        <v>92</v>
      </c>
      <c r="S44" s="10">
        <f>S42*S33</f>
        <v>0</v>
      </c>
      <c r="U44" s="9" t="s">
        <v>92</v>
      </c>
      <c r="V44" s="10">
        <f>V42*V33</f>
        <v>0</v>
      </c>
      <c r="X44" s="9" t="s">
        <v>92</v>
      </c>
      <c r="Y44" s="10">
        <f>Y42*Y33</f>
        <v>0</v>
      </c>
      <c r="AA44" s="9" t="s">
        <v>92</v>
      </c>
      <c r="AB44" s="10">
        <f>AB42*AB33</f>
        <v>0</v>
      </c>
      <c r="AD44" s="9" t="s">
        <v>92</v>
      </c>
      <c r="AE44" s="10">
        <f>AE42*AE33</f>
        <v>0</v>
      </c>
      <c r="AG44" s="9" t="s">
        <v>92</v>
      </c>
      <c r="AH44" s="10">
        <f>AH42*AH33</f>
        <v>0</v>
      </c>
    </row>
    <row r="45" spans="2:54" x14ac:dyDescent="0.25">
      <c r="B45" s="88"/>
      <c r="C45" s="89"/>
      <c r="D45" s="90"/>
      <c r="F45" s="9"/>
      <c r="G45" s="10"/>
      <c r="I45" s="9"/>
      <c r="J45" s="10"/>
      <c r="L45" s="9"/>
      <c r="M45" s="10"/>
      <c r="O45" s="9"/>
      <c r="P45" s="10"/>
      <c r="R45" s="9"/>
      <c r="S45" s="10"/>
      <c r="U45" s="9"/>
      <c r="V45" s="10"/>
      <c r="X45" s="9"/>
      <c r="Y45" s="10"/>
      <c r="AA45" s="9"/>
      <c r="AB45" s="10"/>
      <c r="AD45" s="9"/>
      <c r="AE45" s="10"/>
      <c r="AG45" s="9"/>
      <c r="AH45" s="10"/>
    </row>
    <row r="46" spans="2:54" x14ac:dyDescent="0.25">
      <c r="B46" s="88"/>
      <c r="C46" s="89"/>
      <c r="D46" s="90"/>
      <c r="F46" s="9" t="s">
        <v>85</v>
      </c>
      <c r="G46" s="162">
        <f>G44-G40</f>
        <v>908</v>
      </c>
      <c r="I46" s="9" t="s">
        <v>85</v>
      </c>
      <c r="J46" s="162">
        <f>J44-J40</f>
        <v>754.39999999999986</v>
      </c>
      <c r="L46" s="9" t="s">
        <v>85</v>
      </c>
      <c r="M46" s="162">
        <f>M44-M40</f>
        <v>0</v>
      </c>
      <c r="O46" s="9" t="s">
        <v>85</v>
      </c>
      <c r="P46" s="162">
        <f>P44-P40</f>
        <v>0</v>
      </c>
      <c r="R46" s="9" t="s">
        <v>85</v>
      </c>
      <c r="S46" s="162">
        <f>S44-S40</f>
        <v>0</v>
      </c>
      <c r="U46" s="9" t="s">
        <v>85</v>
      </c>
      <c r="V46" s="162">
        <f>V44-V40</f>
        <v>0</v>
      </c>
      <c r="X46" s="9" t="s">
        <v>85</v>
      </c>
      <c r="Y46" s="162">
        <f>Y44-Y40</f>
        <v>0</v>
      </c>
      <c r="AA46" s="9" t="s">
        <v>85</v>
      </c>
      <c r="AB46" s="162">
        <f>AB44-AB40</f>
        <v>0</v>
      </c>
      <c r="AD46" s="9" t="s">
        <v>85</v>
      </c>
      <c r="AE46" s="162">
        <f>AE44-AE40</f>
        <v>0</v>
      </c>
      <c r="AG46" s="9" t="s">
        <v>85</v>
      </c>
      <c r="AH46" s="162">
        <f>AH44-AH40</f>
        <v>0</v>
      </c>
    </row>
    <row r="47" spans="2:54" x14ac:dyDescent="0.25">
      <c r="B47" s="88"/>
      <c r="C47" s="89"/>
      <c r="D47" s="90"/>
      <c r="F47" s="13" t="s">
        <v>236</v>
      </c>
      <c r="G47" s="163">
        <f>IFERROR(G46/G44,0)</f>
        <v>0.46804123711340206</v>
      </c>
      <c r="I47" s="13" t="s">
        <v>236</v>
      </c>
      <c r="J47" s="163">
        <f>IFERROR(J46/J44,0)</f>
        <v>0.40506872852233672</v>
      </c>
      <c r="L47" s="13" t="s">
        <v>236</v>
      </c>
      <c r="M47" s="163">
        <f>IFERROR(M46/M44,0)</f>
        <v>0</v>
      </c>
      <c r="O47" s="13" t="s">
        <v>236</v>
      </c>
      <c r="P47" s="163">
        <f>IFERROR(P46/P44,0)</f>
        <v>0</v>
      </c>
      <c r="R47" s="13" t="s">
        <v>236</v>
      </c>
      <c r="S47" s="163">
        <f>IFERROR(S46/S44,0)</f>
        <v>0</v>
      </c>
      <c r="U47" s="13" t="s">
        <v>236</v>
      </c>
      <c r="V47" s="163">
        <f>IFERROR(V46/V44,0)</f>
        <v>0</v>
      </c>
      <c r="X47" s="13" t="s">
        <v>236</v>
      </c>
      <c r="Y47" s="163">
        <f>IFERROR(Y46/Y44,0)</f>
        <v>0</v>
      </c>
      <c r="AA47" s="13" t="s">
        <v>236</v>
      </c>
      <c r="AB47" s="163">
        <f>IFERROR(AB46/AB44,0)</f>
        <v>0</v>
      </c>
      <c r="AD47" s="13" t="s">
        <v>236</v>
      </c>
      <c r="AE47" s="163">
        <f>IFERROR(AE46/AE44,0)</f>
        <v>0</v>
      </c>
      <c r="AG47" s="13" t="s">
        <v>236</v>
      </c>
      <c r="AH47" s="163">
        <f>IFERROR(AH46/AH44,0)</f>
        <v>0</v>
      </c>
    </row>
    <row r="48" spans="2:54" x14ac:dyDescent="0.25">
      <c r="B48" s="88"/>
      <c r="C48" s="89"/>
      <c r="D48" s="90"/>
    </row>
    <row r="49" spans="2:35" x14ac:dyDescent="0.25">
      <c r="B49" s="91"/>
      <c r="C49" s="92"/>
      <c r="D49" s="93"/>
    </row>
    <row r="50" spans="2:35" x14ac:dyDescent="0.25">
      <c r="C50" s="12"/>
      <c r="D50" s="12"/>
    </row>
    <row r="51" spans="2:35" x14ac:dyDescent="0.25">
      <c r="B51" s="54" t="s">
        <v>255</v>
      </c>
      <c r="C51" s="145">
        <v>0.01</v>
      </c>
      <c r="D51" s="12"/>
      <c r="F51" s="164" t="s">
        <v>223</v>
      </c>
      <c r="I51" s="164" t="s">
        <v>223</v>
      </c>
      <c r="L51" s="164" t="s">
        <v>223</v>
      </c>
      <c r="O51" s="164" t="s">
        <v>223</v>
      </c>
      <c r="R51" s="164" t="s">
        <v>223</v>
      </c>
      <c r="U51" s="164" t="s">
        <v>223</v>
      </c>
      <c r="X51" s="164" t="s">
        <v>223</v>
      </c>
      <c r="AA51" s="164" t="s">
        <v>223</v>
      </c>
      <c r="AD51" s="164" t="s">
        <v>223</v>
      </c>
      <c r="AG51" s="164" t="s">
        <v>223</v>
      </c>
    </row>
    <row r="52" spans="2:35" x14ac:dyDescent="0.25">
      <c r="B52" s="198" t="s">
        <v>253</v>
      </c>
      <c r="E52" s="85"/>
      <c r="F52" s="202"/>
      <c r="G52" s="203"/>
      <c r="H52" s="85"/>
      <c r="I52" s="202"/>
      <c r="J52" s="203"/>
      <c r="K52" s="85"/>
      <c r="L52" s="202"/>
      <c r="M52" s="203"/>
      <c r="N52" s="85"/>
      <c r="O52" s="202"/>
      <c r="P52" s="203"/>
      <c r="Q52" s="85"/>
      <c r="R52" s="202"/>
      <c r="S52" s="203"/>
      <c r="T52" s="85"/>
      <c r="U52" s="202"/>
      <c r="V52" s="203"/>
      <c r="W52" s="85"/>
      <c r="X52" s="202"/>
      <c r="Y52" s="203"/>
      <c r="Z52" s="85"/>
      <c r="AA52" s="202"/>
      <c r="AB52" s="203"/>
      <c r="AC52" s="85"/>
      <c r="AD52" s="202"/>
      <c r="AE52" s="203"/>
      <c r="AF52" s="85"/>
      <c r="AG52" s="202"/>
      <c r="AH52" s="203"/>
      <c r="AI52" s="85"/>
    </row>
    <row r="53" spans="2:35" x14ac:dyDescent="0.25">
      <c r="B53" s="198" t="s">
        <v>254</v>
      </c>
      <c r="E53" s="85"/>
      <c r="F53" s="204"/>
      <c r="G53" s="205"/>
      <c r="H53" s="85"/>
      <c r="I53" s="204"/>
      <c r="J53" s="205"/>
      <c r="K53" s="85"/>
      <c r="L53" s="204"/>
      <c r="M53" s="205"/>
      <c r="N53" s="85"/>
      <c r="O53" s="204"/>
      <c r="P53" s="205"/>
      <c r="Q53" s="85"/>
      <c r="R53" s="204"/>
      <c r="S53" s="205"/>
      <c r="T53" s="85"/>
      <c r="U53" s="204"/>
      <c r="V53" s="205"/>
      <c r="W53" s="85"/>
      <c r="X53" s="204"/>
      <c r="Y53" s="205"/>
      <c r="Z53" s="85"/>
      <c r="AA53" s="204"/>
      <c r="AB53" s="205"/>
      <c r="AC53" s="85"/>
      <c r="AD53" s="204"/>
      <c r="AE53" s="205"/>
      <c r="AF53" s="85"/>
      <c r="AG53" s="204"/>
      <c r="AH53" s="205"/>
      <c r="AI53" s="85"/>
    </row>
    <row r="54" spans="2:35" x14ac:dyDescent="0.25">
      <c r="E54" s="85"/>
      <c r="F54" s="204"/>
      <c r="G54" s="205"/>
      <c r="H54" s="85"/>
      <c r="I54" s="204"/>
      <c r="J54" s="205"/>
      <c r="K54" s="85"/>
      <c r="L54" s="204"/>
      <c r="M54" s="205"/>
      <c r="N54" s="85"/>
      <c r="O54" s="204"/>
      <c r="P54" s="205"/>
      <c r="Q54" s="85"/>
      <c r="R54" s="204"/>
      <c r="S54" s="205"/>
      <c r="T54" s="85"/>
      <c r="U54" s="204"/>
      <c r="V54" s="205"/>
      <c r="W54" s="85"/>
      <c r="X54" s="204"/>
      <c r="Y54" s="205"/>
      <c r="Z54" s="85"/>
      <c r="AA54" s="204"/>
      <c r="AB54" s="205"/>
      <c r="AC54" s="85"/>
      <c r="AD54" s="204"/>
      <c r="AE54" s="205"/>
      <c r="AF54" s="85"/>
      <c r="AG54" s="204"/>
      <c r="AH54" s="205"/>
      <c r="AI54" s="85"/>
    </row>
    <row r="55" spans="2:35" x14ac:dyDescent="0.25">
      <c r="E55" s="85"/>
      <c r="F55" s="204"/>
      <c r="G55" s="205"/>
      <c r="H55" s="85"/>
      <c r="I55" s="204"/>
      <c r="J55" s="205"/>
      <c r="K55" s="85"/>
      <c r="L55" s="204"/>
      <c r="M55" s="205"/>
      <c r="N55" s="85"/>
      <c r="O55" s="204"/>
      <c r="P55" s="205"/>
      <c r="Q55" s="85"/>
      <c r="R55" s="204"/>
      <c r="S55" s="205"/>
      <c r="T55" s="85"/>
      <c r="U55" s="204"/>
      <c r="V55" s="205"/>
      <c r="W55" s="85"/>
      <c r="X55" s="204"/>
      <c r="Y55" s="205"/>
      <c r="Z55" s="85"/>
      <c r="AA55" s="204"/>
      <c r="AB55" s="205"/>
      <c r="AC55" s="85"/>
      <c r="AD55" s="204"/>
      <c r="AE55" s="205"/>
      <c r="AF55" s="85"/>
      <c r="AG55" s="204"/>
      <c r="AH55" s="205"/>
      <c r="AI55" s="85"/>
    </row>
    <row r="56" spans="2:35" x14ac:dyDescent="0.25">
      <c r="E56" s="85"/>
      <c r="F56" s="204"/>
      <c r="G56" s="205"/>
      <c r="H56" s="85"/>
      <c r="I56" s="204"/>
      <c r="J56" s="205"/>
      <c r="K56" s="85"/>
      <c r="L56" s="204"/>
      <c r="M56" s="205"/>
      <c r="N56" s="85"/>
      <c r="O56" s="204"/>
      <c r="P56" s="205"/>
      <c r="Q56" s="85"/>
      <c r="R56" s="204"/>
      <c r="S56" s="205"/>
      <c r="T56" s="85"/>
      <c r="U56" s="204"/>
      <c r="V56" s="205"/>
      <c r="W56" s="85"/>
      <c r="X56" s="204"/>
      <c r="Y56" s="205"/>
      <c r="Z56" s="85"/>
      <c r="AA56" s="204"/>
      <c r="AB56" s="205"/>
      <c r="AC56" s="85"/>
      <c r="AD56" s="204"/>
      <c r="AE56" s="205"/>
      <c r="AF56" s="85"/>
      <c r="AG56" s="204"/>
      <c r="AH56" s="205"/>
      <c r="AI56" s="85"/>
    </row>
    <row r="57" spans="2:35" x14ac:dyDescent="0.25">
      <c r="E57" s="85"/>
      <c r="F57" s="204"/>
      <c r="G57" s="205"/>
      <c r="H57" s="85"/>
      <c r="I57" s="204"/>
      <c r="J57" s="205"/>
      <c r="K57" s="85"/>
      <c r="L57" s="204"/>
      <c r="M57" s="205"/>
      <c r="N57" s="85"/>
      <c r="O57" s="204"/>
      <c r="P57" s="205"/>
      <c r="Q57" s="85"/>
      <c r="R57" s="204"/>
      <c r="S57" s="205"/>
      <c r="T57" s="85"/>
      <c r="U57" s="204"/>
      <c r="V57" s="205"/>
      <c r="W57" s="85"/>
      <c r="X57" s="204"/>
      <c r="Y57" s="205"/>
      <c r="Z57" s="85"/>
      <c r="AA57" s="204"/>
      <c r="AB57" s="205"/>
      <c r="AC57" s="85"/>
      <c r="AD57" s="204"/>
      <c r="AE57" s="205"/>
      <c r="AF57" s="85"/>
      <c r="AG57" s="204"/>
      <c r="AH57" s="205"/>
      <c r="AI57" s="85"/>
    </row>
    <row r="58" spans="2:35" x14ac:dyDescent="0.25">
      <c r="E58" s="85"/>
      <c r="F58" s="204"/>
      <c r="G58" s="205"/>
      <c r="H58" s="85"/>
      <c r="I58" s="204"/>
      <c r="J58" s="205"/>
      <c r="K58" s="85"/>
      <c r="L58" s="204"/>
      <c r="M58" s="205"/>
      <c r="N58" s="85"/>
      <c r="O58" s="204"/>
      <c r="P58" s="205"/>
      <c r="Q58" s="85"/>
      <c r="R58" s="204"/>
      <c r="S58" s="205"/>
      <c r="T58" s="85"/>
      <c r="U58" s="204"/>
      <c r="V58" s="205"/>
      <c r="W58" s="85"/>
      <c r="X58" s="204"/>
      <c r="Y58" s="205"/>
      <c r="Z58" s="85"/>
      <c r="AA58" s="204"/>
      <c r="AB58" s="205"/>
      <c r="AC58" s="85"/>
      <c r="AD58" s="204"/>
      <c r="AE58" s="205"/>
      <c r="AF58" s="85"/>
      <c r="AG58" s="204"/>
      <c r="AH58" s="205"/>
      <c r="AI58" s="85"/>
    </row>
    <row r="59" spans="2:35" x14ac:dyDescent="0.25">
      <c r="E59" s="85"/>
      <c r="F59" s="204"/>
      <c r="G59" s="205"/>
      <c r="H59" s="85"/>
      <c r="I59" s="204"/>
      <c r="J59" s="205"/>
      <c r="K59" s="85"/>
      <c r="L59" s="204"/>
      <c r="M59" s="205"/>
      <c r="N59" s="85"/>
      <c r="O59" s="204"/>
      <c r="P59" s="205"/>
      <c r="Q59" s="85"/>
      <c r="R59" s="204"/>
      <c r="S59" s="205"/>
      <c r="T59" s="85"/>
      <c r="U59" s="204"/>
      <c r="V59" s="205"/>
      <c r="W59" s="85"/>
      <c r="X59" s="204"/>
      <c r="Y59" s="205"/>
      <c r="Z59" s="85"/>
      <c r="AA59" s="204"/>
      <c r="AB59" s="205"/>
      <c r="AC59" s="85"/>
      <c r="AD59" s="204"/>
      <c r="AE59" s="205"/>
      <c r="AF59" s="85"/>
      <c r="AG59" s="204"/>
      <c r="AH59" s="205"/>
      <c r="AI59" s="85"/>
    </row>
    <row r="60" spans="2:35" x14ac:dyDescent="0.25">
      <c r="E60" s="85"/>
      <c r="F60" s="204"/>
      <c r="G60" s="205"/>
      <c r="H60" s="85"/>
      <c r="I60" s="204"/>
      <c r="J60" s="205"/>
      <c r="K60" s="85"/>
      <c r="L60" s="204"/>
      <c r="M60" s="205"/>
      <c r="N60" s="85"/>
      <c r="O60" s="204"/>
      <c r="P60" s="205"/>
      <c r="Q60" s="85"/>
      <c r="R60" s="204"/>
      <c r="S60" s="205"/>
      <c r="T60" s="85"/>
      <c r="U60" s="204"/>
      <c r="V60" s="205"/>
      <c r="W60" s="85"/>
      <c r="X60" s="204"/>
      <c r="Y60" s="205"/>
      <c r="Z60" s="85"/>
      <c r="AA60" s="204"/>
      <c r="AB60" s="205"/>
      <c r="AC60" s="85"/>
      <c r="AD60" s="204"/>
      <c r="AE60" s="205"/>
      <c r="AF60" s="85"/>
      <c r="AG60" s="204"/>
      <c r="AH60" s="205"/>
      <c r="AI60" s="85"/>
    </row>
    <row r="61" spans="2:35" x14ac:dyDescent="0.25">
      <c r="E61" s="85"/>
      <c r="F61" s="204"/>
      <c r="G61" s="205"/>
      <c r="H61" s="85"/>
      <c r="I61" s="204"/>
      <c r="J61" s="205"/>
      <c r="K61" s="85"/>
      <c r="L61" s="204"/>
      <c r="M61" s="205"/>
      <c r="N61" s="85"/>
      <c r="O61" s="204"/>
      <c r="P61" s="205"/>
      <c r="Q61" s="85"/>
      <c r="R61" s="204"/>
      <c r="S61" s="205"/>
      <c r="T61" s="85"/>
      <c r="U61" s="204"/>
      <c r="V61" s="205"/>
      <c r="W61" s="85"/>
      <c r="X61" s="204"/>
      <c r="Y61" s="205"/>
      <c r="Z61" s="85"/>
      <c r="AA61" s="204"/>
      <c r="AB61" s="205"/>
      <c r="AC61" s="85"/>
      <c r="AD61" s="204"/>
      <c r="AE61" s="205"/>
      <c r="AF61" s="85"/>
      <c r="AG61" s="204"/>
      <c r="AH61" s="205"/>
      <c r="AI61" s="85"/>
    </row>
    <row r="62" spans="2:35" x14ac:dyDescent="0.25">
      <c r="E62" s="85"/>
      <c r="F62" s="204"/>
      <c r="G62" s="205"/>
      <c r="H62" s="85"/>
      <c r="I62" s="204"/>
      <c r="J62" s="205"/>
      <c r="K62" s="85"/>
      <c r="L62" s="204"/>
      <c r="M62" s="205"/>
      <c r="N62" s="85"/>
      <c r="O62" s="204"/>
      <c r="P62" s="205"/>
      <c r="Q62" s="85"/>
      <c r="R62" s="204"/>
      <c r="S62" s="205"/>
      <c r="T62" s="85"/>
      <c r="U62" s="204"/>
      <c r="V62" s="205"/>
      <c r="W62" s="85"/>
      <c r="X62" s="204"/>
      <c r="Y62" s="205"/>
      <c r="Z62" s="85"/>
      <c r="AA62" s="204"/>
      <c r="AB62" s="205"/>
      <c r="AC62" s="85"/>
      <c r="AD62" s="204"/>
      <c r="AE62" s="205"/>
      <c r="AF62" s="85"/>
      <c r="AG62" s="204"/>
      <c r="AH62" s="205"/>
      <c r="AI62" s="85"/>
    </row>
    <row r="63" spans="2:35" x14ac:dyDescent="0.25">
      <c r="E63" s="85"/>
      <c r="F63" s="204"/>
      <c r="G63" s="205"/>
      <c r="H63" s="85"/>
      <c r="I63" s="204"/>
      <c r="J63" s="205"/>
      <c r="K63" s="85"/>
      <c r="L63" s="204"/>
      <c r="M63" s="205"/>
      <c r="N63" s="85"/>
      <c r="O63" s="204"/>
      <c r="P63" s="205"/>
      <c r="Q63" s="85"/>
      <c r="R63" s="204"/>
      <c r="S63" s="205"/>
      <c r="T63" s="85"/>
      <c r="U63" s="204"/>
      <c r="V63" s="205"/>
      <c r="W63" s="85"/>
      <c r="X63" s="204"/>
      <c r="Y63" s="205"/>
      <c r="Z63" s="85"/>
      <c r="AA63" s="204"/>
      <c r="AB63" s="205"/>
      <c r="AC63" s="85"/>
      <c r="AD63" s="204"/>
      <c r="AE63" s="205"/>
      <c r="AF63" s="85"/>
      <c r="AG63" s="204"/>
      <c r="AH63" s="205"/>
      <c r="AI63" s="85"/>
    </row>
    <row r="64" spans="2:35" x14ac:dyDescent="0.25">
      <c r="E64" s="85"/>
      <c r="F64" s="204"/>
      <c r="G64" s="205"/>
      <c r="H64" s="85"/>
      <c r="I64" s="204"/>
      <c r="J64" s="205"/>
      <c r="K64" s="85"/>
      <c r="L64" s="204"/>
      <c r="M64" s="205"/>
      <c r="N64" s="85"/>
      <c r="O64" s="204"/>
      <c r="P64" s="205"/>
      <c r="Q64" s="85"/>
      <c r="R64" s="204"/>
      <c r="S64" s="205"/>
      <c r="T64" s="85"/>
      <c r="U64" s="204"/>
      <c r="V64" s="205"/>
      <c r="W64" s="85"/>
      <c r="X64" s="204"/>
      <c r="Y64" s="205"/>
      <c r="Z64" s="85"/>
      <c r="AA64" s="204"/>
      <c r="AB64" s="205"/>
      <c r="AC64" s="85"/>
      <c r="AD64" s="204"/>
      <c r="AE64" s="205"/>
      <c r="AF64" s="85"/>
      <c r="AG64" s="204"/>
      <c r="AH64" s="205"/>
      <c r="AI64" s="85"/>
    </row>
    <row r="65" spans="5:35" x14ac:dyDescent="0.25">
      <c r="E65" s="85"/>
      <c r="F65" s="204"/>
      <c r="G65" s="205"/>
      <c r="H65" s="85"/>
      <c r="I65" s="204"/>
      <c r="J65" s="205"/>
      <c r="K65" s="85"/>
      <c r="L65" s="204"/>
      <c r="M65" s="205"/>
      <c r="N65" s="85"/>
      <c r="O65" s="204"/>
      <c r="P65" s="205"/>
      <c r="Q65" s="85"/>
      <c r="R65" s="204"/>
      <c r="S65" s="205"/>
      <c r="T65" s="85"/>
      <c r="U65" s="204"/>
      <c r="V65" s="205"/>
      <c r="W65" s="85"/>
      <c r="X65" s="204"/>
      <c r="Y65" s="205"/>
      <c r="Z65" s="85"/>
      <c r="AA65" s="204"/>
      <c r="AB65" s="205"/>
      <c r="AC65" s="85"/>
      <c r="AD65" s="204"/>
      <c r="AE65" s="205"/>
      <c r="AF65" s="85"/>
      <c r="AG65" s="204"/>
      <c r="AH65" s="205"/>
      <c r="AI65" s="85"/>
    </row>
    <row r="66" spans="5:35" x14ac:dyDescent="0.25">
      <c r="E66" s="85"/>
      <c r="F66" s="204"/>
      <c r="G66" s="205"/>
      <c r="H66" s="85"/>
      <c r="I66" s="204"/>
      <c r="J66" s="205"/>
      <c r="K66" s="85"/>
      <c r="L66" s="204"/>
      <c r="M66" s="205"/>
      <c r="N66" s="85"/>
      <c r="O66" s="204"/>
      <c r="P66" s="205"/>
      <c r="Q66" s="85"/>
      <c r="R66" s="204"/>
      <c r="S66" s="205"/>
      <c r="T66" s="85"/>
      <c r="U66" s="204"/>
      <c r="V66" s="205"/>
      <c r="W66" s="85"/>
      <c r="X66" s="204"/>
      <c r="Y66" s="205"/>
      <c r="Z66" s="85"/>
      <c r="AA66" s="204"/>
      <c r="AB66" s="205"/>
      <c r="AC66" s="85"/>
      <c r="AD66" s="204"/>
      <c r="AE66" s="205"/>
      <c r="AF66" s="85"/>
      <c r="AG66" s="204"/>
      <c r="AH66" s="205"/>
      <c r="AI66" s="85"/>
    </row>
    <row r="67" spans="5:35" x14ac:dyDescent="0.25">
      <c r="E67" s="85"/>
      <c r="F67" s="204"/>
      <c r="G67" s="205"/>
      <c r="H67" s="85"/>
      <c r="I67" s="204"/>
      <c r="J67" s="205"/>
      <c r="K67" s="85"/>
      <c r="L67" s="204"/>
      <c r="M67" s="205"/>
      <c r="N67" s="85"/>
      <c r="O67" s="204"/>
      <c r="P67" s="205"/>
      <c r="Q67" s="85"/>
      <c r="R67" s="204"/>
      <c r="S67" s="205"/>
      <c r="T67" s="85"/>
      <c r="U67" s="204"/>
      <c r="V67" s="205"/>
      <c r="W67" s="85"/>
      <c r="X67" s="204"/>
      <c r="Y67" s="205"/>
      <c r="Z67" s="85"/>
      <c r="AA67" s="204"/>
      <c r="AB67" s="205"/>
      <c r="AC67" s="85"/>
      <c r="AD67" s="204"/>
      <c r="AE67" s="205"/>
      <c r="AF67" s="85"/>
      <c r="AG67" s="204"/>
      <c r="AH67" s="205"/>
      <c r="AI67" s="85"/>
    </row>
    <row r="68" spans="5:35" x14ac:dyDescent="0.25">
      <c r="E68" s="85"/>
      <c r="F68" s="204"/>
      <c r="G68" s="205"/>
      <c r="H68" s="85"/>
      <c r="I68" s="204"/>
      <c r="J68" s="205"/>
      <c r="K68" s="85"/>
      <c r="L68" s="204"/>
      <c r="M68" s="205"/>
      <c r="N68" s="85"/>
      <c r="O68" s="204"/>
      <c r="P68" s="205"/>
      <c r="Q68" s="85"/>
      <c r="R68" s="204"/>
      <c r="S68" s="205"/>
      <c r="T68" s="85"/>
      <c r="U68" s="204"/>
      <c r="V68" s="205"/>
      <c r="W68" s="85"/>
      <c r="X68" s="204"/>
      <c r="Y68" s="205"/>
      <c r="Z68" s="85"/>
      <c r="AA68" s="204"/>
      <c r="AB68" s="205"/>
      <c r="AC68" s="85"/>
      <c r="AD68" s="204"/>
      <c r="AE68" s="205"/>
      <c r="AF68" s="85"/>
      <c r="AG68" s="204"/>
      <c r="AH68" s="205"/>
      <c r="AI68" s="85"/>
    </row>
    <row r="69" spans="5:35" x14ac:dyDescent="0.25">
      <c r="E69" s="85"/>
      <c r="F69" s="204"/>
      <c r="G69" s="205"/>
      <c r="H69" s="85"/>
      <c r="I69" s="204"/>
      <c r="J69" s="205"/>
      <c r="K69" s="85"/>
      <c r="L69" s="204"/>
      <c r="M69" s="205"/>
      <c r="N69" s="85"/>
      <c r="O69" s="204"/>
      <c r="P69" s="205"/>
      <c r="Q69" s="85"/>
      <c r="R69" s="204"/>
      <c r="S69" s="205"/>
      <c r="T69" s="85"/>
      <c r="U69" s="204"/>
      <c r="V69" s="205"/>
      <c r="W69" s="85"/>
      <c r="X69" s="204"/>
      <c r="Y69" s="205"/>
      <c r="Z69" s="85"/>
      <c r="AA69" s="204"/>
      <c r="AB69" s="205"/>
      <c r="AC69" s="85"/>
      <c r="AD69" s="204"/>
      <c r="AE69" s="205"/>
      <c r="AF69" s="85"/>
      <c r="AG69" s="204"/>
      <c r="AH69" s="205"/>
      <c r="AI69" s="85"/>
    </row>
    <row r="70" spans="5:35" x14ac:dyDescent="0.25">
      <c r="E70" s="85"/>
      <c r="F70" s="204"/>
      <c r="G70" s="205"/>
      <c r="H70" s="85"/>
      <c r="I70" s="204"/>
      <c r="J70" s="205"/>
      <c r="K70" s="85"/>
      <c r="L70" s="204"/>
      <c r="M70" s="205"/>
      <c r="N70" s="85"/>
      <c r="O70" s="204"/>
      <c r="P70" s="205"/>
      <c r="Q70" s="85"/>
      <c r="R70" s="204"/>
      <c r="S70" s="205"/>
      <c r="T70" s="85"/>
      <c r="U70" s="204"/>
      <c r="V70" s="205"/>
      <c r="W70" s="85"/>
      <c r="X70" s="204"/>
      <c r="Y70" s="205"/>
      <c r="Z70" s="85"/>
      <c r="AA70" s="204"/>
      <c r="AB70" s="205"/>
      <c r="AC70" s="85"/>
      <c r="AD70" s="204"/>
      <c r="AE70" s="205"/>
      <c r="AF70" s="85"/>
      <c r="AG70" s="204"/>
      <c r="AH70" s="205"/>
      <c r="AI70" s="85"/>
    </row>
    <row r="71" spans="5:35" x14ac:dyDescent="0.25">
      <c r="E71" s="85"/>
      <c r="F71" s="204"/>
      <c r="G71" s="205"/>
      <c r="H71" s="85"/>
      <c r="I71" s="204"/>
      <c r="J71" s="205"/>
      <c r="K71" s="85"/>
      <c r="L71" s="204"/>
      <c r="M71" s="205"/>
      <c r="N71" s="85"/>
      <c r="O71" s="204"/>
      <c r="P71" s="205"/>
      <c r="Q71" s="85"/>
      <c r="R71" s="204"/>
      <c r="S71" s="205"/>
      <c r="T71" s="85"/>
      <c r="U71" s="204"/>
      <c r="V71" s="205"/>
      <c r="W71" s="85"/>
      <c r="X71" s="204"/>
      <c r="Y71" s="205"/>
      <c r="Z71" s="85"/>
      <c r="AA71" s="204"/>
      <c r="AB71" s="205"/>
      <c r="AC71" s="85"/>
      <c r="AD71" s="204"/>
      <c r="AE71" s="205"/>
      <c r="AF71" s="85"/>
      <c r="AG71" s="204"/>
      <c r="AH71" s="205"/>
      <c r="AI71" s="85"/>
    </row>
    <row r="72" spans="5:35" x14ac:dyDescent="0.25">
      <c r="E72" s="85"/>
      <c r="F72" s="204"/>
      <c r="G72" s="205"/>
      <c r="H72" s="85"/>
      <c r="I72" s="204"/>
      <c r="J72" s="205"/>
      <c r="K72" s="85"/>
      <c r="L72" s="204"/>
      <c r="M72" s="205"/>
      <c r="N72" s="85"/>
      <c r="O72" s="204"/>
      <c r="P72" s="205"/>
      <c r="Q72" s="85"/>
      <c r="R72" s="204"/>
      <c r="S72" s="205"/>
      <c r="T72" s="85"/>
      <c r="U72" s="204"/>
      <c r="V72" s="205"/>
      <c r="W72" s="85"/>
      <c r="X72" s="204"/>
      <c r="Y72" s="205"/>
      <c r="Z72" s="85"/>
      <c r="AA72" s="204"/>
      <c r="AB72" s="205"/>
      <c r="AC72" s="85"/>
      <c r="AD72" s="204"/>
      <c r="AE72" s="205"/>
      <c r="AF72" s="85"/>
      <c r="AG72" s="204"/>
      <c r="AH72" s="205"/>
      <c r="AI72" s="85"/>
    </row>
    <row r="73" spans="5:35" x14ac:dyDescent="0.25">
      <c r="E73" s="85"/>
      <c r="F73" s="204"/>
      <c r="G73" s="205"/>
      <c r="H73" s="85"/>
      <c r="I73" s="204"/>
      <c r="J73" s="205"/>
      <c r="K73" s="85"/>
      <c r="L73" s="204"/>
      <c r="M73" s="205"/>
      <c r="N73" s="85"/>
      <c r="O73" s="204"/>
      <c r="P73" s="205"/>
      <c r="Q73" s="85"/>
      <c r="R73" s="204"/>
      <c r="S73" s="205"/>
      <c r="T73" s="85"/>
      <c r="U73" s="204"/>
      <c r="V73" s="205"/>
      <c r="W73" s="85"/>
      <c r="X73" s="204"/>
      <c r="Y73" s="205"/>
      <c r="Z73" s="85"/>
      <c r="AA73" s="204"/>
      <c r="AB73" s="205"/>
      <c r="AC73" s="85"/>
      <c r="AD73" s="204"/>
      <c r="AE73" s="205"/>
      <c r="AF73" s="85"/>
      <c r="AG73" s="204"/>
      <c r="AH73" s="205"/>
      <c r="AI73" s="85"/>
    </row>
    <row r="74" spans="5:35" x14ac:dyDescent="0.25">
      <c r="E74" s="85"/>
      <c r="F74" s="206"/>
      <c r="G74" s="207"/>
      <c r="H74" s="85"/>
      <c r="I74" s="206"/>
      <c r="J74" s="207"/>
      <c r="K74" s="85"/>
      <c r="L74" s="206"/>
      <c r="M74" s="207"/>
      <c r="N74" s="85"/>
      <c r="O74" s="206"/>
      <c r="P74" s="207"/>
      <c r="Q74" s="85"/>
      <c r="R74" s="206"/>
      <c r="S74" s="207"/>
      <c r="T74" s="85"/>
      <c r="U74" s="206"/>
      <c r="V74" s="207"/>
      <c r="W74" s="85"/>
      <c r="X74" s="206"/>
      <c r="Y74" s="207"/>
      <c r="Z74" s="85"/>
      <c r="AA74" s="206"/>
      <c r="AB74" s="207"/>
      <c r="AC74" s="85"/>
      <c r="AD74" s="206"/>
      <c r="AE74" s="207"/>
      <c r="AF74" s="85"/>
      <c r="AG74" s="206"/>
      <c r="AH74" s="207"/>
      <c r="AI74" s="85"/>
    </row>
    <row r="108" spans="2:3" x14ac:dyDescent="0.25">
      <c r="B108" s="2" t="s">
        <v>107</v>
      </c>
    </row>
    <row r="109" spans="2:3" x14ac:dyDescent="0.25">
      <c r="B109" s="2" t="str">
        <f t="shared" ref="B109:B117" si="3">B41</f>
        <v>Cooking/Kitchen</v>
      </c>
      <c r="C109" s="18">
        <f t="shared" ref="C109:C117" si="4">C41*D41*$C$36*$C$38</f>
        <v>60000</v>
      </c>
    </row>
    <row r="110" spans="2:3" x14ac:dyDescent="0.25">
      <c r="B110" s="2" t="str">
        <f t="shared" si="3"/>
        <v>Packaging/Labeling</v>
      </c>
      <c r="C110" s="18">
        <f t="shared" si="4"/>
        <v>30000</v>
      </c>
    </row>
    <row r="111" spans="2:3" x14ac:dyDescent="0.25">
      <c r="B111" s="2">
        <f t="shared" si="3"/>
        <v>0</v>
      </c>
      <c r="C111" s="18">
        <f t="shared" si="4"/>
        <v>0</v>
      </c>
    </row>
    <row r="112" spans="2:3" x14ac:dyDescent="0.25">
      <c r="B112" s="2">
        <f t="shared" si="3"/>
        <v>0</v>
      </c>
      <c r="C112" s="18">
        <f t="shared" si="4"/>
        <v>0</v>
      </c>
    </row>
    <row r="113" spans="2:3" x14ac:dyDescent="0.25">
      <c r="B113" s="2">
        <f t="shared" si="3"/>
        <v>0</v>
      </c>
      <c r="C113" s="18">
        <f t="shared" si="4"/>
        <v>0</v>
      </c>
    </row>
    <row r="114" spans="2:3" x14ac:dyDescent="0.25">
      <c r="B114" s="2">
        <f t="shared" si="3"/>
        <v>0</v>
      </c>
      <c r="C114" s="18">
        <f t="shared" si="4"/>
        <v>0</v>
      </c>
    </row>
    <row r="115" spans="2:3" x14ac:dyDescent="0.25">
      <c r="B115" s="2">
        <f t="shared" si="3"/>
        <v>0</v>
      </c>
      <c r="C115" s="18">
        <f t="shared" si="4"/>
        <v>0</v>
      </c>
    </row>
    <row r="116" spans="2:3" x14ac:dyDescent="0.25">
      <c r="B116" s="2">
        <f t="shared" si="3"/>
        <v>0</v>
      </c>
      <c r="C116" s="18">
        <f t="shared" si="4"/>
        <v>0</v>
      </c>
    </row>
    <row r="117" spans="2:3" x14ac:dyDescent="0.25">
      <c r="B117" s="2">
        <f t="shared" si="3"/>
        <v>0</v>
      </c>
      <c r="C117" s="18">
        <f t="shared" si="4"/>
        <v>0</v>
      </c>
    </row>
    <row r="118" spans="2:3" x14ac:dyDescent="0.25">
      <c r="B118" s="2" t="s">
        <v>108</v>
      </c>
      <c r="C118" s="18">
        <f>SUM(C109:C117)</f>
        <v>90000</v>
      </c>
    </row>
    <row r="219" spans="3:3" x14ac:dyDescent="0.25">
      <c r="C219" s="2" t="s">
        <v>74</v>
      </c>
    </row>
    <row r="220" spans="3:3" x14ac:dyDescent="0.25">
      <c r="C220" s="2" t="s">
        <v>75</v>
      </c>
    </row>
  </sheetData>
  <sheetProtection password="E114" sheet="1" objects="1" scenarios="1" selectLockedCells="1"/>
  <mergeCells count="11">
    <mergeCell ref="F3:G3"/>
    <mergeCell ref="F52:G74"/>
    <mergeCell ref="I52:J74"/>
    <mergeCell ref="L52:M74"/>
    <mergeCell ref="O52:P74"/>
    <mergeCell ref="AG52:AH74"/>
    <mergeCell ref="R52:S74"/>
    <mergeCell ref="U52:V74"/>
    <mergeCell ref="X52:Y74"/>
    <mergeCell ref="AA52:AB74"/>
    <mergeCell ref="AD52:AE74"/>
  </mergeCells>
  <hyperlinks>
    <hyperlink ref="B5" location="'Market Projection'!A1" display="Market Projection" xr:uid="{00000000-0004-0000-0100-000000000000}"/>
    <hyperlink ref="B6" location="'Expense Projection'!A1" display="Expense Projection" xr:uid="{00000000-0004-0000-0100-000001000000}"/>
    <hyperlink ref="B7" location="'Profit &amp; Loss'!A1" display="Profit/Loss Summary" xr:uid="{00000000-0004-0000-0100-000002000000}"/>
    <hyperlink ref="B8" location="'Return On Investment'!A1" display="Return on Investment" xr:uid="{00000000-0004-0000-0100-000003000000}"/>
  </hyperlinks>
  <pageMargins left="0.75000000000000011" right="0.75000000000000011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showGridLines="0" showRowColHeaders="0" workbookViewId="0">
      <selection activeCell="B22" sqref="B22"/>
    </sheetView>
  </sheetViews>
  <sheetFormatPr defaultRowHeight="13.2" x14ac:dyDescent="0.25"/>
  <cols>
    <col min="1" max="1" width="5.6640625" style="102" customWidth="1"/>
    <col min="2" max="2" width="25.44140625" style="102" customWidth="1"/>
    <col min="3" max="3" width="12.44140625" style="101" customWidth="1"/>
    <col min="4" max="4" width="12.6640625" style="101" customWidth="1"/>
    <col min="5" max="5" width="13.44140625" style="101" customWidth="1"/>
    <col min="6" max="6" width="13.33203125" style="102" customWidth="1"/>
    <col min="7" max="7" width="11.6640625" style="102" bestFit="1" customWidth="1"/>
    <col min="8" max="8" width="10.44140625" style="102" customWidth="1"/>
    <col min="9" max="257" width="9.109375" style="102"/>
    <col min="258" max="258" width="25.44140625" style="102" customWidth="1"/>
    <col min="259" max="259" width="12.44140625" style="102" customWidth="1"/>
    <col min="260" max="260" width="12.6640625" style="102" customWidth="1"/>
    <col min="261" max="261" width="12.33203125" style="102" customWidth="1"/>
    <col min="262" max="262" width="10.6640625" style="102" customWidth="1"/>
    <col min="263" max="263" width="11.6640625" style="102" bestFit="1" customWidth="1"/>
    <col min="264" max="264" width="10.44140625" style="102" customWidth="1"/>
    <col min="265" max="513" width="9.109375" style="102"/>
    <col min="514" max="514" width="25.44140625" style="102" customWidth="1"/>
    <col min="515" max="515" width="12.44140625" style="102" customWidth="1"/>
    <col min="516" max="516" width="12.6640625" style="102" customWidth="1"/>
    <col min="517" max="517" width="12.33203125" style="102" customWidth="1"/>
    <col min="518" max="518" width="10.6640625" style="102" customWidth="1"/>
    <col min="519" max="519" width="11.6640625" style="102" bestFit="1" customWidth="1"/>
    <col min="520" max="520" width="10.44140625" style="102" customWidth="1"/>
    <col min="521" max="769" width="9.109375" style="102"/>
    <col min="770" max="770" width="25.44140625" style="102" customWidth="1"/>
    <col min="771" max="771" width="12.44140625" style="102" customWidth="1"/>
    <col min="772" max="772" width="12.6640625" style="102" customWidth="1"/>
    <col min="773" max="773" width="12.33203125" style="102" customWidth="1"/>
    <col min="774" max="774" width="10.6640625" style="102" customWidth="1"/>
    <col min="775" max="775" width="11.6640625" style="102" bestFit="1" customWidth="1"/>
    <col min="776" max="776" width="10.44140625" style="102" customWidth="1"/>
    <col min="777" max="1025" width="9.109375" style="102"/>
    <col min="1026" max="1026" width="25.44140625" style="102" customWidth="1"/>
    <col min="1027" max="1027" width="12.44140625" style="102" customWidth="1"/>
    <col min="1028" max="1028" width="12.6640625" style="102" customWidth="1"/>
    <col min="1029" max="1029" width="12.33203125" style="102" customWidth="1"/>
    <col min="1030" max="1030" width="10.6640625" style="102" customWidth="1"/>
    <col min="1031" max="1031" width="11.6640625" style="102" bestFit="1" customWidth="1"/>
    <col min="1032" max="1032" width="10.44140625" style="102" customWidth="1"/>
    <col min="1033" max="1281" width="9.109375" style="102"/>
    <col min="1282" max="1282" width="25.44140625" style="102" customWidth="1"/>
    <col min="1283" max="1283" width="12.44140625" style="102" customWidth="1"/>
    <col min="1284" max="1284" width="12.6640625" style="102" customWidth="1"/>
    <col min="1285" max="1285" width="12.33203125" style="102" customWidth="1"/>
    <col min="1286" max="1286" width="10.6640625" style="102" customWidth="1"/>
    <col min="1287" max="1287" width="11.6640625" style="102" bestFit="1" customWidth="1"/>
    <col min="1288" max="1288" width="10.44140625" style="102" customWidth="1"/>
    <col min="1289" max="1537" width="9.109375" style="102"/>
    <col min="1538" max="1538" width="25.44140625" style="102" customWidth="1"/>
    <col min="1539" max="1539" width="12.44140625" style="102" customWidth="1"/>
    <col min="1540" max="1540" width="12.6640625" style="102" customWidth="1"/>
    <col min="1541" max="1541" width="12.33203125" style="102" customWidth="1"/>
    <col min="1542" max="1542" width="10.6640625" style="102" customWidth="1"/>
    <col min="1543" max="1543" width="11.6640625" style="102" bestFit="1" customWidth="1"/>
    <col min="1544" max="1544" width="10.44140625" style="102" customWidth="1"/>
    <col min="1545" max="1793" width="9.109375" style="102"/>
    <col min="1794" max="1794" width="25.44140625" style="102" customWidth="1"/>
    <col min="1795" max="1795" width="12.44140625" style="102" customWidth="1"/>
    <col min="1796" max="1796" width="12.6640625" style="102" customWidth="1"/>
    <col min="1797" max="1797" width="12.33203125" style="102" customWidth="1"/>
    <col min="1798" max="1798" width="10.6640625" style="102" customWidth="1"/>
    <col min="1799" max="1799" width="11.6640625" style="102" bestFit="1" customWidth="1"/>
    <col min="1800" max="1800" width="10.44140625" style="102" customWidth="1"/>
    <col min="1801" max="2049" width="9.109375" style="102"/>
    <col min="2050" max="2050" width="25.44140625" style="102" customWidth="1"/>
    <col min="2051" max="2051" width="12.44140625" style="102" customWidth="1"/>
    <col min="2052" max="2052" width="12.6640625" style="102" customWidth="1"/>
    <col min="2053" max="2053" width="12.33203125" style="102" customWidth="1"/>
    <col min="2054" max="2054" width="10.6640625" style="102" customWidth="1"/>
    <col min="2055" max="2055" width="11.6640625" style="102" bestFit="1" customWidth="1"/>
    <col min="2056" max="2056" width="10.44140625" style="102" customWidth="1"/>
    <col min="2057" max="2305" width="9.109375" style="102"/>
    <col min="2306" max="2306" width="25.44140625" style="102" customWidth="1"/>
    <col min="2307" max="2307" width="12.44140625" style="102" customWidth="1"/>
    <col min="2308" max="2308" width="12.6640625" style="102" customWidth="1"/>
    <col min="2309" max="2309" width="12.33203125" style="102" customWidth="1"/>
    <col min="2310" max="2310" width="10.6640625" style="102" customWidth="1"/>
    <col min="2311" max="2311" width="11.6640625" style="102" bestFit="1" customWidth="1"/>
    <col min="2312" max="2312" width="10.44140625" style="102" customWidth="1"/>
    <col min="2313" max="2561" width="9.109375" style="102"/>
    <col min="2562" max="2562" width="25.44140625" style="102" customWidth="1"/>
    <col min="2563" max="2563" width="12.44140625" style="102" customWidth="1"/>
    <col min="2564" max="2564" width="12.6640625" style="102" customWidth="1"/>
    <col min="2565" max="2565" width="12.33203125" style="102" customWidth="1"/>
    <col min="2566" max="2566" width="10.6640625" style="102" customWidth="1"/>
    <col min="2567" max="2567" width="11.6640625" style="102" bestFit="1" customWidth="1"/>
    <col min="2568" max="2568" width="10.44140625" style="102" customWidth="1"/>
    <col min="2569" max="2817" width="9.109375" style="102"/>
    <col min="2818" max="2818" width="25.44140625" style="102" customWidth="1"/>
    <col min="2819" max="2819" width="12.44140625" style="102" customWidth="1"/>
    <col min="2820" max="2820" width="12.6640625" style="102" customWidth="1"/>
    <col min="2821" max="2821" width="12.33203125" style="102" customWidth="1"/>
    <col min="2822" max="2822" width="10.6640625" style="102" customWidth="1"/>
    <col min="2823" max="2823" width="11.6640625" style="102" bestFit="1" customWidth="1"/>
    <col min="2824" max="2824" width="10.44140625" style="102" customWidth="1"/>
    <col min="2825" max="3073" width="9.109375" style="102"/>
    <col min="3074" max="3074" width="25.44140625" style="102" customWidth="1"/>
    <col min="3075" max="3075" width="12.44140625" style="102" customWidth="1"/>
    <col min="3076" max="3076" width="12.6640625" style="102" customWidth="1"/>
    <col min="3077" max="3077" width="12.33203125" style="102" customWidth="1"/>
    <col min="3078" max="3078" width="10.6640625" style="102" customWidth="1"/>
    <col min="3079" max="3079" width="11.6640625" style="102" bestFit="1" customWidth="1"/>
    <col min="3080" max="3080" width="10.44140625" style="102" customWidth="1"/>
    <col min="3081" max="3329" width="9.109375" style="102"/>
    <col min="3330" max="3330" width="25.44140625" style="102" customWidth="1"/>
    <col min="3331" max="3331" width="12.44140625" style="102" customWidth="1"/>
    <col min="3332" max="3332" width="12.6640625" style="102" customWidth="1"/>
    <col min="3333" max="3333" width="12.33203125" style="102" customWidth="1"/>
    <col min="3334" max="3334" width="10.6640625" style="102" customWidth="1"/>
    <col min="3335" max="3335" width="11.6640625" style="102" bestFit="1" customWidth="1"/>
    <col min="3336" max="3336" width="10.44140625" style="102" customWidth="1"/>
    <col min="3337" max="3585" width="9.109375" style="102"/>
    <col min="3586" max="3586" width="25.44140625" style="102" customWidth="1"/>
    <col min="3587" max="3587" width="12.44140625" style="102" customWidth="1"/>
    <col min="3588" max="3588" width="12.6640625" style="102" customWidth="1"/>
    <col min="3589" max="3589" width="12.33203125" style="102" customWidth="1"/>
    <col min="3590" max="3590" width="10.6640625" style="102" customWidth="1"/>
    <col min="3591" max="3591" width="11.6640625" style="102" bestFit="1" customWidth="1"/>
    <col min="3592" max="3592" width="10.44140625" style="102" customWidth="1"/>
    <col min="3593" max="3841" width="9.109375" style="102"/>
    <col min="3842" max="3842" width="25.44140625" style="102" customWidth="1"/>
    <col min="3843" max="3843" width="12.44140625" style="102" customWidth="1"/>
    <col min="3844" max="3844" width="12.6640625" style="102" customWidth="1"/>
    <col min="3845" max="3845" width="12.33203125" style="102" customWidth="1"/>
    <col min="3846" max="3846" width="10.6640625" style="102" customWidth="1"/>
    <col min="3847" max="3847" width="11.6640625" style="102" bestFit="1" customWidth="1"/>
    <col min="3848" max="3848" width="10.44140625" style="102" customWidth="1"/>
    <col min="3849" max="4097" width="9.109375" style="102"/>
    <col min="4098" max="4098" width="25.44140625" style="102" customWidth="1"/>
    <col min="4099" max="4099" width="12.44140625" style="102" customWidth="1"/>
    <col min="4100" max="4100" width="12.6640625" style="102" customWidth="1"/>
    <col min="4101" max="4101" width="12.33203125" style="102" customWidth="1"/>
    <col min="4102" max="4102" width="10.6640625" style="102" customWidth="1"/>
    <col min="4103" max="4103" width="11.6640625" style="102" bestFit="1" customWidth="1"/>
    <col min="4104" max="4104" width="10.44140625" style="102" customWidth="1"/>
    <col min="4105" max="4353" width="9.109375" style="102"/>
    <col min="4354" max="4354" width="25.44140625" style="102" customWidth="1"/>
    <col min="4355" max="4355" width="12.44140625" style="102" customWidth="1"/>
    <col min="4356" max="4356" width="12.6640625" style="102" customWidth="1"/>
    <col min="4357" max="4357" width="12.33203125" style="102" customWidth="1"/>
    <col min="4358" max="4358" width="10.6640625" style="102" customWidth="1"/>
    <col min="4359" max="4359" width="11.6640625" style="102" bestFit="1" customWidth="1"/>
    <col min="4360" max="4360" width="10.44140625" style="102" customWidth="1"/>
    <col min="4361" max="4609" width="9.109375" style="102"/>
    <col min="4610" max="4610" width="25.44140625" style="102" customWidth="1"/>
    <col min="4611" max="4611" width="12.44140625" style="102" customWidth="1"/>
    <col min="4612" max="4612" width="12.6640625" style="102" customWidth="1"/>
    <col min="4613" max="4613" width="12.33203125" style="102" customWidth="1"/>
    <col min="4614" max="4614" width="10.6640625" style="102" customWidth="1"/>
    <col min="4615" max="4615" width="11.6640625" style="102" bestFit="1" customWidth="1"/>
    <col min="4616" max="4616" width="10.44140625" style="102" customWidth="1"/>
    <col min="4617" max="4865" width="9.109375" style="102"/>
    <col min="4866" max="4866" width="25.44140625" style="102" customWidth="1"/>
    <col min="4867" max="4867" width="12.44140625" style="102" customWidth="1"/>
    <col min="4868" max="4868" width="12.6640625" style="102" customWidth="1"/>
    <col min="4869" max="4869" width="12.33203125" style="102" customWidth="1"/>
    <col min="4870" max="4870" width="10.6640625" style="102" customWidth="1"/>
    <col min="4871" max="4871" width="11.6640625" style="102" bestFit="1" customWidth="1"/>
    <col min="4872" max="4872" width="10.44140625" style="102" customWidth="1"/>
    <col min="4873" max="5121" width="9.109375" style="102"/>
    <col min="5122" max="5122" width="25.44140625" style="102" customWidth="1"/>
    <col min="5123" max="5123" width="12.44140625" style="102" customWidth="1"/>
    <col min="5124" max="5124" width="12.6640625" style="102" customWidth="1"/>
    <col min="5125" max="5125" width="12.33203125" style="102" customWidth="1"/>
    <col min="5126" max="5126" width="10.6640625" style="102" customWidth="1"/>
    <col min="5127" max="5127" width="11.6640625" style="102" bestFit="1" customWidth="1"/>
    <col min="5128" max="5128" width="10.44140625" style="102" customWidth="1"/>
    <col min="5129" max="5377" width="9.109375" style="102"/>
    <col min="5378" max="5378" width="25.44140625" style="102" customWidth="1"/>
    <col min="5379" max="5379" width="12.44140625" style="102" customWidth="1"/>
    <col min="5380" max="5380" width="12.6640625" style="102" customWidth="1"/>
    <col min="5381" max="5381" width="12.33203125" style="102" customWidth="1"/>
    <col min="5382" max="5382" width="10.6640625" style="102" customWidth="1"/>
    <col min="5383" max="5383" width="11.6640625" style="102" bestFit="1" customWidth="1"/>
    <col min="5384" max="5384" width="10.44140625" style="102" customWidth="1"/>
    <col min="5385" max="5633" width="9.109375" style="102"/>
    <col min="5634" max="5634" width="25.44140625" style="102" customWidth="1"/>
    <col min="5635" max="5635" width="12.44140625" style="102" customWidth="1"/>
    <col min="5636" max="5636" width="12.6640625" style="102" customWidth="1"/>
    <col min="5637" max="5637" width="12.33203125" style="102" customWidth="1"/>
    <col min="5638" max="5638" width="10.6640625" style="102" customWidth="1"/>
    <col min="5639" max="5639" width="11.6640625" style="102" bestFit="1" customWidth="1"/>
    <col min="5640" max="5640" width="10.44140625" style="102" customWidth="1"/>
    <col min="5641" max="5889" width="9.109375" style="102"/>
    <col min="5890" max="5890" width="25.44140625" style="102" customWidth="1"/>
    <col min="5891" max="5891" width="12.44140625" style="102" customWidth="1"/>
    <col min="5892" max="5892" width="12.6640625" style="102" customWidth="1"/>
    <col min="5893" max="5893" width="12.33203125" style="102" customWidth="1"/>
    <col min="5894" max="5894" width="10.6640625" style="102" customWidth="1"/>
    <col min="5895" max="5895" width="11.6640625" style="102" bestFit="1" customWidth="1"/>
    <col min="5896" max="5896" width="10.44140625" style="102" customWidth="1"/>
    <col min="5897" max="6145" width="9.109375" style="102"/>
    <col min="6146" max="6146" width="25.44140625" style="102" customWidth="1"/>
    <col min="6147" max="6147" width="12.44140625" style="102" customWidth="1"/>
    <col min="6148" max="6148" width="12.6640625" style="102" customWidth="1"/>
    <col min="6149" max="6149" width="12.33203125" style="102" customWidth="1"/>
    <col min="6150" max="6150" width="10.6640625" style="102" customWidth="1"/>
    <col min="6151" max="6151" width="11.6640625" style="102" bestFit="1" customWidth="1"/>
    <col min="6152" max="6152" width="10.44140625" style="102" customWidth="1"/>
    <col min="6153" max="6401" width="9.109375" style="102"/>
    <col min="6402" max="6402" width="25.44140625" style="102" customWidth="1"/>
    <col min="6403" max="6403" width="12.44140625" style="102" customWidth="1"/>
    <col min="6404" max="6404" width="12.6640625" style="102" customWidth="1"/>
    <col min="6405" max="6405" width="12.33203125" style="102" customWidth="1"/>
    <col min="6406" max="6406" width="10.6640625" style="102" customWidth="1"/>
    <col min="6407" max="6407" width="11.6640625" style="102" bestFit="1" customWidth="1"/>
    <col min="6408" max="6408" width="10.44140625" style="102" customWidth="1"/>
    <col min="6409" max="6657" width="9.109375" style="102"/>
    <col min="6658" max="6658" width="25.44140625" style="102" customWidth="1"/>
    <col min="6659" max="6659" width="12.44140625" style="102" customWidth="1"/>
    <col min="6660" max="6660" width="12.6640625" style="102" customWidth="1"/>
    <col min="6661" max="6661" width="12.33203125" style="102" customWidth="1"/>
    <col min="6662" max="6662" width="10.6640625" style="102" customWidth="1"/>
    <col min="6663" max="6663" width="11.6640625" style="102" bestFit="1" customWidth="1"/>
    <col min="6664" max="6664" width="10.44140625" style="102" customWidth="1"/>
    <col min="6665" max="6913" width="9.109375" style="102"/>
    <col min="6914" max="6914" width="25.44140625" style="102" customWidth="1"/>
    <col min="6915" max="6915" width="12.44140625" style="102" customWidth="1"/>
    <col min="6916" max="6916" width="12.6640625" style="102" customWidth="1"/>
    <col min="6917" max="6917" width="12.33203125" style="102" customWidth="1"/>
    <col min="6918" max="6918" width="10.6640625" style="102" customWidth="1"/>
    <col min="6919" max="6919" width="11.6640625" style="102" bestFit="1" customWidth="1"/>
    <col min="6920" max="6920" width="10.44140625" style="102" customWidth="1"/>
    <col min="6921" max="7169" width="9.109375" style="102"/>
    <col min="7170" max="7170" width="25.44140625" style="102" customWidth="1"/>
    <col min="7171" max="7171" width="12.44140625" style="102" customWidth="1"/>
    <col min="7172" max="7172" width="12.6640625" style="102" customWidth="1"/>
    <col min="7173" max="7173" width="12.33203125" style="102" customWidth="1"/>
    <col min="7174" max="7174" width="10.6640625" style="102" customWidth="1"/>
    <col min="7175" max="7175" width="11.6640625" style="102" bestFit="1" customWidth="1"/>
    <col min="7176" max="7176" width="10.44140625" style="102" customWidth="1"/>
    <col min="7177" max="7425" width="9.109375" style="102"/>
    <col min="7426" max="7426" width="25.44140625" style="102" customWidth="1"/>
    <col min="7427" max="7427" width="12.44140625" style="102" customWidth="1"/>
    <col min="7428" max="7428" width="12.6640625" style="102" customWidth="1"/>
    <col min="7429" max="7429" width="12.33203125" style="102" customWidth="1"/>
    <col min="7430" max="7430" width="10.6640625" style="102" customWidth="1"/>
    <col min="7431" max="7431" width="11.6640625" style="102" bestFit="1" customWidth="1"/>
    <col min="7432" max="7432" width="10.44140625" style="102" customWidth="1"/>
    <col min="7433" max="7681" width="9.109375" style="102"/>
    <col min="7682" max="7682" width="25.44140625" style="102" customWidth="1"/>
    <col min="7683" max="7683" width="12.44140625" style="102" customWidth="1"/>
    <col min="7684" max="7684" width="12.6640625" style="102" customWidth="1"/>
    <col min="7685" max="7685" width="12.33203125" style="102" customWidth="1"/>
    <col min="7686" max="7686" width="10.6640625" style="102" customWidth="1"/>
    <col min="7687" max="7687" width="11.6640625" style="102" bestFit="1" customWidth="1"/>
    <col min="7688" max="7688" width="10.44140625" style="102" customWidth="1"/>
    <col min="7689" max="7937" width="9.109375" style="102"/>
    <col min="7938" max="7938" width="25.44140625" style="102" customWidth="1"/>
    <col min="7939" max="7939" width="12.44140625" style="102" customWidth="1"/>
    <col min="7940" max="7940" width="12.6640625" style="102" customWidth="1"/>
    <col min="7941" max="7941" width="12.33203125" style="102" customWidth="1"/>
    <col min="7942" max="7942" width="10.6640625" style="102" customWidth="1"/>
    <col min="7943" max="7943" width="11.6640625" style="102" bestFit="1" customWidth="1"/>
    <col min="7944" max="7944" width="10.44140625" style="102" customWidth="1"/>
    <col min="7945" max="8193" width="9.109375" style="102"/>
    <col min="8194" max="8194" width="25.44140625" style="102" customWidth="1"/>
    <col min="8195" max="8195" width="12.44140625" style="102" customWidth="1"/>
    <col min="8196" max="8196" width="12.6640625" style="102" customWidth="1"/>
    <col min="8197" max="8197" width="12.33203125" style="102" customWidth="1"/>
    <col min="8198" max="8198" width="10.6640625" style="102" customWidth="1"/>
    <col min="8199" max="8199" width="11.6640625" style="102" bestFit="1" customWidth="1"/>
    <col min="8200" max="8200" width="10.44140625" style="102" customWidth="1"/>
    <col min="8201" max="8449" width="9.109375" style="102"/>
    <col min="8450" max="8450" width="25.44140625" style="102" customWidth="1"/>
    <col min="8451" max="8451" width="12.44140625" style="102" customWidth="1"/>
    <col min="8452" max="8452" width="12.6640625" style="102" customWidth="1"/>
    <col min="8453" max="8453" width="12.33203125" style="102" customWidth="1"/>
    <col min="8454" max="8454" width="10.6640625" style="102" customWidth="1"/>
    <col min="8455" max="8455" width="11.6640625" style="102" bestFit="1" customWidth="1"/>
    <col min="8456" max="8456" width="10.44140625" style="102" customWidth="1"/>
    <col min="8457" max="8705" width="9.109375" style="102"/>
    <col min="8706" max="8706" width="25.44140625" style="102" customWidth="1"/>
    <col min="8707" max="8707" width="12.44140625" style="102" customWidth="1"/>
    <col min="8708" max="8708" width="12.6640625" style="102" customWidth="1"/>
    <col min="8709" max="8709" width="12.33203125" style="102" customWidth="1"/>
    <col min="8710" max="8710" width="10.6640625" style="102" customWidth="1"/>
    <col min="8711" max="8711" width="11.6640625" style="102" bestFit="1" customWidth="1"/>
    <col min="8712" max="8712" width="10.44140625" style="102" customWidth="1"/>
    <col min="8713" max="8961" width="9.109375" style="102"/>
    <col min="8962" max="8962" width="25.44140625" style="102" customWidth="1"/>
    <col min="8963" max="8963" width="12.44140625" style="102" customWidth="1"/>
    <col min="8964" max="8964" width="12.6640625" style="102" customWidth="1"/>
    <col min="8965" max="8965" width="12.33203125" style="102" customWidth="1"/>
    <col min="8966" max="8966" width="10.6640625" style="102" customWidth="1"/>
    <col min="8967" max="8967" width="11.6640625" style="102" bestFit="1" customWidth="1"/>
    <col min="8968" max="8968" width="10.44140625" style="102" customWidth="1"/>
    <col min="8969" max="9217" width="9.109375" style="102"/>
    <col min="9218" max="9218" width="25.44140625" style="102" customWidth="1"/>
    <col min="9219" max="9219" width="12.44140625" style="102" customWidth="1"/>
    <col min="9220" max="9220" width="12.6640625" style="102" customWidth="1"/>
    <col min="9221" max="9221" width="12.33203125" style="102" customWidth="1"/>
    <col min="9222" max="9222" width="10.6640625" style="102" customWidth="1"/>
    <col min="9223" max="9223" width="11.6640625" style="102" bestFit="1" customWidth="1"/>
    <col min="9224" max="9224" width="10.44140625" style="102" customWidth="1"/>
    <col min="9225" max="9473" width="9.109375" style="102"/>
    <col min="9474" max="9474" width="25.44140625" style="102" customWidth="1"/>
    <col min="9475" max="9475" width="12.44140625" style="102" customWidth="1"/>
    <col min="9476" max="9476" width="12.6640625" style="102" customWidth="1"/>
    <col min="9477" max="9477" width="12.33203125" style="102" customWidth="1"/>
    <col min="9478" max="9478" width="10.6640625" style="102" customWidth="1"/>
    <col min="9479" max="9479" width="11.6640625" style="102" bestFit="1" customWidth="1"/>
    <col min="9480" max="9480" width="10.44140625" style="102" customWidth="1"/>
    <col min="9481" max="9729" width="9.109375" style="102"/>
    <col min="9730" max="9730" width="25.44140625" style="102" customWidth="1"/>
    <col min="9731" max="9731" width="12.44140625" style="102" customWidth="1"/>
    <col min="9732" max="9732" width="12.6640625" style="102" customWidth="1"/>
    <col min="9733" max="9733" width="12.33203125" style="102" customWidth="1"/>
    <col min="9734" max="9734" width="10.6640625" style="102" customWidth="1"/>
    <col min="9735" max="9735" width="11.6640625" style="102" bestFit="1" customWidth="1"/>
    <col min="9736" max="9736" width="10.44140625" style="102" customWidth="1"/>
    <col min="9737" max="9985" width="9.109375" style="102"/>
    <col min="9986" max="9986" width="25.44140625" style="102" customWidth="1"/>
    <col min="9987" max="9987" width="12.44140625" style="102" customWidth="1"/>
    <col min="9988" max="9988" width="12.6640625" style="102" customWidth="1"/>
    <col min="9989" max="9989" width="12.33203125" style="102" customWidth="1"/>
    <col min="9990" max="9990" width="10.6640625" style="102" customWidth="1"/>
    <col min="9991" max="9991" width="11.6640625" style="102" bestFit="1" customWidth="1"/>
    <col min="9992" max="9992" width="10.44140625" style="102" customWidth="1"/>
    <col min="9993" max="10241" width="9.109375" style="102"/>
    <col min="10242" max="10242" width="25.44140625" style="102" customWidth="1"/>
    <col min="10243" max="10243" width="12.44140625" style="102" customWidth="1"/>
    <col min="10244" max="10244" width="12.6640625" style="102" customWidth="1"/>
    <col min="10245" max="10245" width="12.33203125" style="102" customWidth="1"/>
    <col min="10246" max="10246" width="10.6640625" style="102" customWidth="1"/>
    <col min="10247" max="10247" width="11.6640625" style="102" bestFit="1" customWidth="1"/>
    <col min="10248" max="10248" width="10.44140625" style="102" customWidth="1"/>
    <col min="10249" max="10497" width="9.109375" style="102"/>
    <col min="10498" max="10498" width="25.44140625" style="102" customWidth="1"/>
    <col min="10499" max="10499" width="12.44140625" style="102" customWidth="1"/>
    <col min="10500" max="10500" width="12.6640625" style="102" customWidth="1"/>
    <col min="10501" max="10501" width="12.33203125" style="102" customWidth="1"/>
    <col min="10502" max="10502" width="10.6640625" style="102" customWidth="1"/>
    <col min="10503" max="10503" width="11.6640625" style="102" bestFit="1" customWidth="1"/>
    <col min="10504" max="10504" width="10.44140625" style="102" customWidth="1"/>
    <col min="10505" max="10753" width="9.109375" style="102"/>
    <col min="10754" max="10754" width="25.44140625" style="102" customWidth="1"/>
    <col min="10755" max="10755" width="12.44140625" style="102" customWidth="1"/>
    <col min="10756" max="10756" width="12.6640625" style="102" customWidth="1"/>
    <col min="10757" max="10757" width="12.33203125" style="102" customWidth="1"/>
    <col min="10758" max="10758" width="10.6640625" style="102" customWidth="1"/>
    <col min="10759" max="10759" width="11.6640625" style="102" bestFit="1" customWidth="1"/>
    <col min="10760" max="10760" width="10.44140625" style="102" customWidth="1"/>
    <col min="10761" max="11009" width="9.109375" style="102"/>
    <col min="11010" max="11010" width="25.44140625" style="102" customWidth="1"/>
    <col min="11011" max="11011" width="12.44140625" style="102" customWidth="1"/>
    <col min="11012" max="11012" width="12.6640625" style="102" customWidth="1"/>
    <col min="11013" max="11013" width="12.33203125" style="102" customWidth="1"/>
    <col min="11014" max="11014" width="10.6640625" style="102" customWidth="1"/>
    <col min="11015" max="11015" width="11.6640625" style="102" bestFit="1" customWidth="1"/>
    <col min="11016" max="11016" width="10.44140625" style="102" customWidth="1"/>
    <col min="11017" max="11265" width="9.109375" style="102"/>
    <col min="11266" max="11266" width="25.44140625" style="102" customWidth="1"/>
    <col min="11267" max="11267" width="12.44140625" style="102" customWidth="1"/>
    <col min="11268" max="11268" width="12.6640625" style="102" customWidth="1"/>
    <col min="11269" max="11269" width="12.33203125" style="102" customWidth="1"/>
    <col min="11270" max="11270" width="10.6640625" style="102" customWidth="1"/>
    <col min="11271" max="11271" width="11.6640625" style="102" bestFit="1" customWidth="1"/>
    <col min="11272" max="11272" width="10.44140625" style="102" customWidth="1"/>
    <col min="11273" max="11521" width="9.109375" style="102"/>
    <col min="11522" max="11522" width="25.44140625" style="102" customWidth="1"/>
    <col min="11523" max="11523" width="12.44140625" style="102" customWidth="1"/>
    <col min="11524" max="11524" width="12.6640625" style="102" customWidth="1"/>
    <col min="11525" max="11525" width="12.33203125" style="102" customWidth="1"/>
    <col min="11526" max="11526" width="10.6640625" style="102" customWidth="1"/>
    <col min="11527" max="11527" width="11.6640625" style="102" bestFit="1" customWidth="1"/>
    <col min="11528" max="11528" width="10.44140625" style="102" customWidth="1"/>
    <col min="11529" max="11777" width="9.109375" style="102"/>
    <col min="11778" max="11778" width="25.44140625" style="102" customWidth="1"/>
    <col min="11779" max="11779" width="12.44140625" style="102" customWidth="1"/>
    <col min="11780" max="11780" width="12.6640625" style="102" customWidth="1"/>
    <col min="11781" max="11781" width="12.33203125" style="102" customWidth="1"/>
    <col min="11782" max="11782" width="10.6640625" style="102" customWidth="1"/>
    <col min="11783" max="11783" width="11.6640625" style="102" bestFit="1" customWidth="1"/>
    <col min="11784" max="11784" width="10.44140625" style="102" customWidth="1"/>
    <col min="11785" max="12033" width="9.109375" style="102"/>
    <col min="12034" max="12034" width="25.44140625" style="102" customWidth="1"/>
    <col min="12035" max="12035" width="12.44140625" style="102" customWidth="1"/>
    <col min="12036" max="12036" width="12.6640625" style="102" customWidth="1"/>
    <col min="12037" max="12037" width="12.33203125" style="102" customWidth="1"/>
    <col min="12038" max="12038" width="10.6640625" style="102" customWidth="1"/>
    <col min="12039" max="12039" width="11.6640625" style="102" bestFit="1" customWidth="1"/>
    <col min="12040" max="12040" width="10.44140625" style="102" customWidth="1"/>
    <col min="12041" max="12289" width="9.109375" style="102"/>
    <col min="12290" max="12290" width="25.44140625" style="102" customWidth="1"/>
    <col min="12291" max="12291" width="12.44140625" style="102" customWidth="1"/>
    <col min="12292" max="12292" width="12.6640625" style="102" customWidth="1"/>
    <col min="12293" max="12293" width="12.33203125" style="102" customWidth="1"/>
    <col min="12294" max="12294" width="10.6640625" style="102" customWidth="1"/>
    <col min="12295" max="12295" width="11.6640625" style="102" bestFit="1" customWidth="1"/>
    <col min="12296" max="12296" width="10.44140625" style="102" customWidth="1"/>
    <col min="12297" max="12545" width="9.109375" style="102"/>
    <col min="12546" max="12546" width="25.44140625" style="102" customWidth="1"/>
    <col min="12547" max="12547" width="12.44140625" style="102" customWidth="1"/>
    <col min="12548" max="12548" width="12.6640625" style="102" customWidth="1"/>
    <col min="12549" max="12549" width="12.33203125" style="102" customWidth="1"/>
    <col min="12550" max="12550" width="10.6640625" style="102" customWidth="1"/>
    <col min="12551" max="12551" width="11.6640625" style="102" bestFit="1" customWidth="1"/>
    <col min="12552" max="12552" width="10.44140625" style="102" customWidth="1"/>
    <col min="12553" max="12801" width="9.109375" style="102"/>
    <col min="12802" max="12802" width="25.44140625" style="102" customWidth="1"/>
    <col min="12803" max="12803" width="12.44140625" style="102" customWidth="1"/>
    <col min="12804" max="12804" width="12.6640625" style="102" customWidth="1"/>
    <col min="12805" max="12805" width="12.33203125" style="102" customWidth="1"/>
    <col min="12806" max="12806" width="10.6640625" style="102" customWidth="1"/>
    <col min="12807" max="12807" width="11.6640625" style="102" bestFit="1" customWidth="1"/>
    <col min="12808" max="12808" width="10.44140625" style="102" customWidth="1"/>
    <col min="12809" max="13057" width="9.109375" style="102"/>
    <col min="13058" max="13058" width="25.44140625" style="102" customWidth="1"/>
    <col min="13059" max="13059" width="12.44140625" style="102" customWidth="1"/>
    <col min="13060" max="13060" width="12.6640625" style="102" customWidth="1"/>
    <col min="13061" max="13061" width="12.33203125" style="102" customWidth="1"/>
    <col min="13062" max="13062" width="10.6640625" style="102" customWidth="1"/>
    <col min="13063" max="13063" width="11.6640625" style="102" bestFit="1" customWidth="1"/>
    <col min="13064" max="13064" width="10.44140625" style="102" customWidth="1"/>
    <col min="13065" max="13313" width="9.109375" style="102"/>
    <col min="13314" max="13314" width="25.44140625" style="102" customWidth="1"/>
    <col min="13315" max="13315" width="12.44140625" style="102" customWidth="1"/>
    <col min="13316" max="13316" width="12.6640625" style="102" customWidth="1"/>
    <col min="13317" max="13317" width="12.33203125" style="102" customWidth="1"/>
    <col min="13318" max="13318" width="10.6640625" style="102" customWidth="1"/>
    <col min="13319" max="13319" width="11.6640625" style="102" bestFit="1" customWidth="1"/>
    <col min="13320" max="13320" width="10.44140625" style="102" customWidth="1"/>
    <col min="13321" max="13569" width="9.109375" style="102"/>
    <col min="13570" max="13570" width="25.44140625" style="102" customWidth="1"/>
    <col min="13571" max="13571" width="12.44140625" style="102" customWidth="1"/>
    <col min="13572" max="13572" width="12.6640625" style="102" customWidth="1"/>
    <col min="13573" max="13573" width="12.33203125" style="102" customWidth="1"/>
    <col min="13574" max="13574" width="10.6640625" style="102" customWidth="1"/>
    <col min="13575" max="13575" width="11.6640625" style="102" bestFit="1" customWidth="1"/>
    <col min="13576" max="13576" width="10.44140625" style="102" customWidth="1"/>
    <col min="13577" max="13825" width="9.109375" style="102"/>
    <col min="13826" max="13826" width="25.44140625" style="102" customWidth="1"/>
    <col min="13827" max="13827" width="12.44140625" style="102" customWidth="1"/>
    <col min="13828" max="13828" width="12.6640625" style="102" customWidth="1"/>
    <col min="13829" max="13829" width="12.33203125" style="102" customWidth="1"/>
    <col min="13830" max="13830" width="10.6640625" style="102" customWidth="1"/>
    <col min="13831" max="13831" width="11.6640625" style="102" bestFit="1" customWidth="1"/>
    <col min="13832" max="13832" width="10.44140625" style="102" customWidth="1"/>
    <col min="13833" max="14081" width="9.109375" style="102"/>
    <col min="14082" max="14082" width="25.44140625" style="102" customWidth="1"/>
    <col min="14083" max="14083" width="12.44140625" style="102" customWidth="1"/>
    <col min="14084" max="14084" width="12.6640625" style="102" customWidth="1"/>
    <col min="14085" max="14085" width="12.33203125" style="102" customWidth="1"/>
    <col min="14086" max="14086" width="10.6640625" style="102" customWidth="1"/>
    <col min="14087" max="14087" width="11.6640625" style="102" bestFit="1" customWidth="1"/>
    <col min="14088" max="14088" width="10.44140625" style="102" customWidth="1"/>
    <col min="14089" max="14337" width="9.109375" style="102"/>
    <col min="14338" max="14338" width="25.44140625" style="102" customWidth="1"/>
    <col min="14339" max="14339" width="12.44140625" style="102" customWidth="1"/>
    <col min="14340" max="14340" width="12.6640625" style="102" customWidth="1"/>
    <col min="14341" max="14341" width="12.33203125" style="102" customWidth="1"/>
    <col min="14342" max="14342" width="10.6640625" style="102" customWidth="1"/>
    <col min="14343" max="14343" width="11.6640625" style="102" bestFit="1" customWidth="1"/>
    <col min="14344" max="14344" width="10.44140625" style="102" customWidth="1"/>
    <col min="14345" max="14593" width="9.109375" style="102"/>
    <col min="14594" max="14594" width="25.44140625" style="102" customWidth="1"/>
    <col min="14595" max="14595" width="12.44140625" style="102" customWidth="1"/>
    <col min="14596" max="14596" width="12.6640625" style="102" customWidth="1"/>
    <col min="14597" max="14597" width="12.33203125" style="102" customWidth="1"/>
    <col min="14598" max="14598" width="10.6640625" style="102" customWidth="1"/>
    <col min="14599" max="14599" width="11.6640625" style="102" bestFit="1" customWidth="1"/>
    <col min="14600" max="14600" width="10.44140625" style="102" customWidth="1"/>
    <col min="14601" max="14849" width="9.109375" style="102"/>
    <col min="14850" max="14850" width="25.44140625" style="102" customWidth="1"/>
    <col min="14851" max="14851" width="12.44140625" style="102" customWidth="1"/>
    <col min="14852" max="14852" width="12.6640625" style="102" customWidth="1"/>
    <col min="14853" max="14853" width="12.33203125" style="102" customWidth="1"/>
    <col min="14854" max="14854" width="10.6640625" style="102" customWidth="1"/>
    <col min="14855" max="14855" width="11.6640625" style="102" bestFit="1" customWidth="1"/>
    <col min="14856" max="14856" width="10.44140625" style="102" customWidth="1"/>
    <col min="14857" max="15105" width="9.109375" style="102"/>
    <col min="15106" max="15106" width="25.44140625" style="102" customWidth="1"/>
    <col min="15107" max="15107" width="12.44140625" style="102" customWidth="1"/>
    <col min="15108" max="15108" width="12.6640625" style="102" customWidth="1"/>
    <col min="15109" max="15109" width="12.33203125" style="102" customWidth="1"/>
    <col min="15110" max="15110" width="10.6640625" style="102" customWidth="1"/>
    <col min="15111" max="15111" width="11.6640625" style="102" bestFit="1" customWidth="1"/>
    <col min="15112" max="15112" width="10.44140625" style="102" customWidth="1"/>
    <col min="15113" max="15361" width="9.109375" style="102"/>
    <col min="15362" max="15362" width="25.44140625" style="102" customWidth="1"/>
    <col min="15363" max="15363" width="12.44140625" style="102" customWidth="1"/>
    <col min="15364" max="15364" width="12.6640625" style="102" customWidth="1"/>
    <col min="15365" max="15365" width="12.33203125" style="102" customWidth="1"/>
    <col min="15366" max="15366" width="10.6640625" style="102" customWidth="1"/>
    <col min="15367" max="15367" width="11.6640625" style="102" bestFit="1" customWidth="1"/>
    <col min="15368" max="15368" width="10.44140625" style="102" customWidth="1"/>
    <col min="15369" max="15617" width="9.109375" style="102"/>
    <col min="15618" max="15618" width="25.44140625" style="102" customWidth="1"/>
    <col min="15619" max="15619" width="12.44140625" style="102" customWidth="1"/>
    <col min="15620" max="15620" width="12.6640625" style="102" customWidth="1"/>
    <col min="15621" max="15621" width="12.33203125" style="102" customWidth="1"/>
    <col min="15622" max="15622" width="10.6640625" style="102" customWidth="1"/>
    <col min="15623" max="15623" width="11.6640625" style="102" bestFit="1" customWidth="1"/>
    <col min="15624" max="15624" width="10.44140625" style="102" customWidth="1"/>
    <col min="15625" max="15873" width="9.109375" style="102"/>
    <col min="15874" max="15874" width="25.44140625" style="102" customWidth="1"/>
    <col min="15875" max="15875" width="12.44140625" style="102" customWidth="1"/>
    <col min="15876" max="15876" width="12.6640625" style="102" customWidth="1"/>
    <col min="15877" max="15877" width="12.33203125" style="102" customWidth="1"/>
    <col min="15878" max="15878" width="10.6640625" style="102" customWidth="1"/>
    <col min="15879" max="15879" width="11.6640625" style="102" bestFit="1" customWidth="1"/>
    <col min="15880" max="15880" width="10.44140625" style="102" customWidth="1"/>
    <col min="15881" max="16129" width="9.109375" style="102"/>
    <col min="16130" max="16130" width="25.44140625" style="102" customWidth="1"/>
    <col min="16131" max="16131" width="12.44140625" style="102" customWidth="1"/>
    <col min="16132" max="16132" width="12.6640625" style="102" customWidth="1"/>
    <col min="16133" max="16133" width="12.33203125" style="102" customWidth="1"/>
    <col min="16134" max="16134" width="10.6640625" style="102" customWidth="1"/>
    <col min="16135" max="16135" width="11.6640625" style="102" bestFit="1" customWidth="1"/>
    <col min="16136" max="16136" width="10.44140625" style="102" customWidth="1"/>
    <col min="16137" max="16384" width="9.109375" style="102"/>
  </cols>
  <sheetData>
    <row r="1" spans="1:10" x14ac:dyDescent="0.25">
      <c r="A1" s="1"/>
      <c r="B1" s="100" t="s">
        <v>65</v>
      </c>
    </row>
    <row r="2" spans="1:10" x14ac:dyDescent="0.25">
      <c r="B2" s="50" t="s">
        <v>199</v>
      </c>
    </row>
    <row r="3" spans="1:10" x14ac:dyDescent="0.25">
      <c r="B3" s="59" t="s">
        <v>193</v>
      </c>
    </row>
    <row r="4" spans="1:10" x14ac:dyDescent="0.25">
      <c r="B4" s="59" t="s">
        <v>195</v>
      </c>
    </row>
    <row r="5" spans="1:10" x14ac:dyDescent="0.25">
      <c r="B5" s="59" t="s">
        <v>196</v>
      </c>
    </row>
    <row r="6" spans="1:10" x14ac:dyDescent="0.25">
      <c r="B6" s="59" t="s">
        <v>197</v>
      </c>
    </row>
    <row r="7" spans="1:10" x14ac:dyDescent="0.25">
      <c r="B7" s="59" t="s">
        <v>198</v>
      </c>
    </row>
    <row r="8" spans="1:10" x14ac:dyDescent="0.25">
      <c r="B8" s="103"/>
      <c r="C8" s="103"/>
      <c r="D8" s="103"/>
      <c r="E8" s="104"/>
      <c r="F8" s="105"/>
      <c r="G8" s="105"/>
      <c r="H8" s="105"/>
      <c r="I8" s="105"/>
      <c r="J8" s="105"/>
    </row>
    <row r="9" spans="1:10" x14ac:dyDescent="0.25">
      <c r="B9" s="106" t="s">
        <v>44</v>
      </c>
      <c r="C9" s="107"/>
      <c r="D9" s="105"/>
      <c r="F9" s="101"/>
    </row>
    <row r="10" spans="1:10" x14ac:dyDescent="0.25">
      <c r="B10" s="108" t="s">
        <v>20</v>
      </c>
      <c r="C10" s="33">
        <v>0.08</v>
      </c>
      <c r="D10" s="109"/>
      <c r="F10" s="101"/>
    </row>
    <row r="11" spans="1:10" x14ac:dyDescent="0.25">
      <c r="B11" s="108" t="s">
        <v>21</v>
      </c>
      <c r="C11" s="33">
        <v>0.06</v>
      </c>
      <c r="D11" s="109"/>
      <c r="F11" s="101"/>
    </row>
    <row r="12" spans="1:10" x14ac:dyDescent="0.25">
      <c r="B12" s="108" t="s">
        <v>60</v>
      </c>
      <c r="C12" s="33">
        <v>0.06</v>
      </c>
      <c r="D12" s="109"/>
      <c r="F12" s="101"/>
    </row>
    <row r="13" spans="1:10" x14ac:dyDescent="0.25">
      <c r="B13" s="108" t="s">
        <v>19</v>
      </c>
      <c r="C13" s="110">
        <f>SUM(C10:C12)</f>
        <v>0.2</v>
      </c>
      <c r="D13" s="109"/>
      <c r="F13" s="101"/>
    </row>
    <row r="14" spans="1:10" x14ac:dyDescent="0.25">
      <c r="B14" s="111" t="s">
        <v>43</v>
      </c>
      <c r="C14" s="34">
        <v>0.01</v>
      </c>
      <c r="D14" s="109"/>
      <c r="F14" s="101"/>
    </row>
    <row r="15" spans="1:10" x14ac:dyDescent="0.25">
      <c r="D15" s="112"/>
      <c r="F15" s="101"/>
    </row>
    <row r="16" spans="1:10" x14ac:dyDescent="0.25">
      <c r="B16" s="113" t="s">
        <v>14</v>
      </c>
      <c r="C16" s="114" t="s">
        <v>15</v>
      </c>
      <c r="D16" s="115"/>
      <c r="E16" s="116" t="s">
        <v>66</v>
      </c>
      <c r="F16" s="116" t="s">
        <v>67</v>
      </c>
      <c r="G16" s="114" t="s">
        <v>17</v>
      </c>
      <c r="H16" s="114" t="s">
        <v>46</v>
      </c>
      <c r="I16" s="114" t="s">
        <v>16</v>
      </c>
      <c r="J16" s="114" t="s">
        <v>33</v>
      </c>
    </row>
    <row r="17" spans="2:11" x14ac:dyDescent="0.25">
      <c r="D17" s="112"/>
      <c r="F17" s="101"/>
      <c r="G17" s="101"/>
      <c r="H17" s="101"/>
    </row>
    <row r="18" spans="2:11" x14ac:dyDescent="0.25">
      <c r="B18" s="35" t="s">
        <v>271</v>
      </c>
      <c r="C18" s="36">
        <v>40000</v>
      </c>
      <c r="D18" s="117"/>
      <c r="E18" s="37">
        <v>1</v>
      </c>
      <c r="F18" s="118">
        <f>C18*E18</f>
        <v>40000</v>
      </c>
      <c r="G18" s="118">
        <f>$C$13*F18</f>
        <v>8000</v>
      </c>
      <c r="H18" s="38">
        <v>0</v>
      </c>
      <c r="I18" s="97">
        <f>+(F18+G18)*H18</f>
        <v>0</v>
      </c>
      <c r="J18" s="118">
        <f>+F18+G18+I18</f>
        <v>48000</v>
      </c>
    </row>
    <row r="19" spans="2:11" x14ac:dyDescent="0.25">
      <c r="C19" s="117"/>
      <c r="D19" s="117"/>
      <c r="E19" s="119"/>
      <c r="F19" s="118"/>
      <c r="G19" s="118"/>
      <c r="H19" s="120"/>
      <c r="I19" s="97"/>
      <c r="J19" s="118"/>
    </row>
    <row r="20" spans="2:11" x14ac:dyDescent="0.25">
      <c r="B20" s="35" t="s">
        <v>273</v>
      </c>
      <c r="C20" s="36">
        <v>35000</v>
      </c>
      <c r="D20" s="117"/>
      <c r="E20" s="37">
        <v>1</v>
      </c>
      <c r="F20" s="118">
        <f>C20*E20</f>
        <v>35000</v>
      </c>
      <c r="G20" s="118">
        <f t="shared" ref="G20:G28" si="0">$C$13*F20</f>
        <v>7000</v>
      </c>
      <c r="H20" s="38">
        <v>0</v>
      </c>
      <c r="I20" s="97">
        <f t="shared" ref="I20:I28" si="1">+(F20+G20)*H20</f>
        <v>0</v>
      </c>
      <c r="J20" s="118">
        <f>+F20+G20+I20</f>
        <v>42000</v>
      </c>
    </row>
    <row r="21" spans="2:11" x14ac:dyDescent="0.25">
      <c r="C21" s="117"/>
      <c r="D21" s="117"/>
      <c r="E21" s="119"/>
      <c r="F21" s="118"/>
      <c r="G21" s="118"/>
      <c r="H21" s="120"/>
      <c r="I21" s="97"/>
      <c r="J21" s="118"/>
    </row>
    <row r="22" spans="2:11" x14ac:dyDescent="0.25">
      <c r="B22" s="35" t="s">
        <v>272</v>
      </c>
      <c r="C22" s="36">
        <v>40000</v>
      </c>
      <c r="D22" s="117"/>
      <c r="E22" s="37">
        <v>1</v>
      </c>
      <c r="F22" s="118">
        <f>C22*E22</f>
        <v>40000</v>
      </c>
      <c r="G22" s="118">
        <f t="shared" si="0"/>
        <v>8000</v>
      </c>
      <c r="H22" s="38">
        <v>0</v>
      </c>
      <c r="I22" s="97">
        <f t="shared" si="1"/>
        <v>0</v>
      </c>
      <c r="J22" s="118">
        <f>+F22+G22+I22</f>
        <v>48000</v>
      </c>
    </row>
    <row r="23" spans="2:11" x14ac:dyDescent="0.25">
      <c r="C23" s="117"/>
      <c r="D23" s="117"/>
      <c r="E23" s="119"/>
      <c r="F23" s="118"/>
      <c r="G23" s="118"/>
      <c r="H23" s="120"/>
      <c r="I23" s="97"/>
      <c r="J23" s="118"/>
    </row>
    <row r="24" spans="2:11" x14ac:dyDescent="0.25">
      <c r="B24" s="35"/>
      <c r="C24" s="36"/>
      <c r="D24" s="117"/>
      <c r="E24" s="37"/>
      <c r="F24" s="118">
        <f>C24*E24</f>
        <v>0</v>
      </c>
      <c r="G24" s="118">
        <f t="shared" si="0"/>
        <v>0</v>
      </c>
      <c r="H24" s="38">
        <v>0</v>
      </c>
      <c r="I24" s="97">
        <f t="shared" si="1"/>
        <v>0</v>
      </c>
      <c r="J24" s="118">
        <f>+F24+G24+I24</f>
        <v>0</v>
      </c>
      <c r="K24" s="101"/>
    </row>
    <row r="25" spans="2:11" x14ac:dyDescent="0.25">
      <c r="C25" s="117"/>
      <c r="D25" s="117"/>
      <c r="E25" s="119"/>
      <c r="F25" s="118"/>
      <c r="G25" s="118"/>
      <c r="H25" s="120"/>
      <c r="I25" s="97"/>
      <c r="J25" s="118"/>
    </row>
    <row r="26" spans="2:11" x14ac:dyDescent="0.25">
      <c r="B26" s="35"/>
      <c r="C26" s="36"/>
      <c r="D26" s="117"/>
      <c r="E26" s="37"/>
      <c r="F26" s="118">
        <f>C26*E26</f>
        <v>0</v>
      </c>
      <c r="G26" s="118">
        <f t="shared" si="0"/>
        <v>0</v>
      </c>
      <c r="H26" s="38">
        <v>0</v>
      </c>
      <c r="I26" s="97">
        <f t="shared" si="1"/>
        <v>0</v>
      </c>
      <c r="J26" s="118">
        <f>+F26+G26+I26</f>
        <v>0</v>
      </c>
    </row>
    <row r="27" spans="2:11" x14ac:dyDescent="0.25">
      <c r="C27" s="117"/>
      <c r="D27" s="117"/>
      <c r="E27" s="119"/>
      <c r="F27" s="118"/>
      <c r="G27" s="118"/>
      <c r="H27" s="120"/>
      <c r="I27" s="97"/>
      <c r="J27" s="118"/>
    </row>
    <row r="28" spans="2:11" x14ac:dyDescent="0.25">
      <c r="B28" s="121" t="s">
        <v>109</v>
      </c>
      <c r="C28" s="117"/>
      <c r="D28" s="117"/>
      <c r="E28" s="119"/>
      <c r="F28" s="118">
        <f>'Production Assumptions'!C118</f>
        <v>90000</v>
      </c>
      <c r="G28" s="118">
        <f t="shared" si="0"/>
        <v>18000</v>
      </c>
      <c r="H28" s="38">
        <v>0</v>
      </c>
      <c r="I28" s="97">
        <f t="shared" si="1"/>
        <v>0</v>
      </c>
      <c r="J28" s="118">
        <f>+F28+G28+I28</f>
        <v>108000</v>
      </c>
    </row>
    <row r="29" spans="2:11" x14ac:dyDescent="0.25">
      <c r="C29" s="118"/>
      <c r="D29" s="122"/>
      <c r="E29" s="123"/>
      <c r="F29" s="124"/>
      <c r="G29" s="118"/>
      <c r="H29" s="101"/>
      <c r="J29" s="118"/>
    </row>
    <row r="30" spans="2:11" x14ac:dyDescent="0.25">
      <c r="B30" s="125" t="s">
        <v>68</v>
      </c>
      <c r="C30" s="126">
        <f>SUM(C17:C29)</f>
        <v>115000</v>
      </c>
      <c r="D30" s="127"/>
      <c r="F30" s="118">
        <f>SUM(F18:F29)</f>
        <v>205000</v>
      </c>
      <c r="G30" s="126">
        <f>SUM(G17:G29)</f>
        <v>41000</v>
      </c>
      <c r="H30" s="128"/>
      <c r="I30" s="126">
        <f>SUM(I17:I29)</f>
        <v>0</v>
      </c>
      <c r="J30" s="126">
        <f>SUM(J17:J29)</f>
        <v>246000</v>
      </c>
    </row>
  </sheetData>
  <sheetProtection password="E114" sheet="1" objects="1" scenarios="1" selectLockedCells="1"/>
  <hyperlinks>
    <hyperlink ref="B3" location="'Production Assumptions'!A1" display="Production Assumptions" xr:uid="{00000000-0004-0000-0200-000000000000}"/>
    <hyperlink ref="B4" location="'Market Projection'!A1" display="Market Projection" xr:uid="{00000000-0004-0000-0200-000001000000}"/>
    <hyperlink ref="B5" location="'Expense Projection'!A1" display="Expense Projection" xr:uid="{00000000-0004-0000-0200-000002000000}"/>
    <hyperlink ref="B6" location="'Profit &amp; Loss'!A1" display="Profit/Loss Summary" xr:uid="{00000000-0004-0000-0200-000003000000}"/>
    <hyperlink ref="B7" location="'Return On Investment'!A1" display="Return on Investment" xr:uid="{00000000-0004-0000-0200-000004000000}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46"/>
  <sheetViews>
    <sheetView showGridLines="0" showRowColHeaders="0" topLeftCell="A10" workbookViewId="0">
      <selection activeCell="B3" sqref="B3"/>
    </sheetView>
  </sheetViews>
  <sheetFormatPr defaultColWidth="9.109375" defaultRowHeight="13.2" x14ac:dyDescent="0.25"/>
  <cols>
    <col min="1" max="1" width="5.6640625" style="41" customWidth="1"/>
    <col min="2" max="2" width="16.88671875" style="41" customWidth="1"/>
    <col min="3" max="3" width="6.33203125" style="41" customWidth="1"/>
    <col min="4" max="13" width="13.6640625" style="41" customWidth="1"/>
    <col min="14" max="14" width="11.88671875" style="129" bestFit="1" customWidth="1"/>
    <col min="15" max="16384" width="9.109375" style="41"/>
  </cols>
  <sheetData>
    <row r="1" spans="2:14" x14ac:dyDescent="0.25">
      <c r="B1" s="53" t="s">
        <v>200</v>
      </c>
    </row>
    <row r="2" spans="2:14" x14ac:dyDescent="0.25">
      <c r="B2" s="50" t="s">
        <v>199</v>
      </c>
    </row>
    <row r="3" spans="2:14" x14ac:dyDescent="0.25">
      <c r="B3" s="59" t="s">
        <v>193</v>
      </c>
      <c r="C3" s="141"/>
    </row>
    <row r="4" spans="2:14" x14ac:dyDescent="0.25">
      <c r="B4" s="59" t="s">
        <v>194</v>
      </c>
      <c r="C4" s="141"/>
    </row>
    <row r="5" spans="2:14" x14ac:dyDescent="0.25">
      <c r="B5" s="59" t="s">
        <v>196</v>
      </c>
      <c r="C5" s="141"/>
    </row>
    <row r="6" spans="2:14" x14ac:dyDescent="0.25">
      <c r="B6" s="59" t="s">
        <v>197</v>
      </c>
      <c r="C6" s="141"/>
    </row>
    <row r="7" spans="2:14" x14ac:dyDescent="0.25">
      <c r="B7" s="59" t="s">
        <v>198</v>
      </c>
      <c r="C7" s="141"/>
    </row>
    <row r="8" spans="2:14" x14ac:dyDescent="0.25">
      <c r="E8" s="57"/>
      <c r="F8" s="57"/>
      <c r="G8" s="57"/>
      <c r="H8" s="57"/>
      <c r="I8" s="57"/>
      <c r="J8" s="57"/>
      <c r="K8" s="57"/>
      <c r="L8" s="57"/>
      <c r="M8" s="57"/>
      <c r="N8" s="130"/>
    </row>
    <row r="9" spans="2:14" x14ac:dyDescent="0.25">
      <c r="B9" s="54" t="s">
        <v>97</v>
      </c>
      <c r="D9" s="139">
        <v>1</v>
      </c>
      <c r="E9" s="131" t="s">
        <v>204</v>
      </c>
      <c r="G9" s="132"/>
      <c r="H9" s="132"/>
      <c r="I9" s="132"/>
      <c r="J9" s="132"/>
      <c r="K9" s="132"/>
      <c r="L9" s="132"/>
      <c r="M9" s="132"/>
      <c r="N9" s="133"/>
    </row>
    <row r="10" spans="2:14" x14ac:dyDescent="0.25"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99"/>
    </row>
    <row r="11" spans="2:14" x14ac:dyDescent="0.25">
      <c r="B11" s="53" t="s">
        <v>61</v>
      </c>
      <c r="N11" s="133"/>
    </row>
    <row r="12" spans="2:14" x14ac:dyDescent="0.25">
      <c r="B12" s="53" t="s">
        <v>52</v>
      </c>
      <c r="N12" s="133"/>
    </row>
    <row r="13" spans="2:14" x14ac:dyDescent="0.25">
      <c r="B13" s="53"/>
      <c r="N13" s="133"/>
    </row>
    <row r="14" spans="2:14" x14ac:dyDescent="0.25">
      <c r="C14" s="135"/>
      <c r="D14" s="135" t="s">
        <v>0</v>
      </c>
      <c r="E14" s="135" t="s">
        <v>1</v>
      </c>
      <c r="F14" s="135" t="s">
        <v>2</v>
      </c>
      <c r="G14" s="135" t="s">
        <v>3</v>
      </c>
      <c r="H14" s="135" t="s">
        <v>4</v>
      </c>
      <c r="I14" s="135" t="s">
        <v>5</v>
      </c>
      <c r="J14" s="135" t="s">
        <v>6</v>
      </c>
      <c r="K14" s="135" t="s">
        <v>7</v>
      </c>
      <c r="L14" s="135" t="s">
        <v>8</v>
      </c>
      <c r="M14" s="135" t="s">
        <v>9</v>
      </c>
      <c r="N14" s="133"/>
    </row>
    <row r="15" spans="2:14" x14ac:dyDescent="0.25">
      <c r="B15" s="96" t="str">
        <f>'Production Assumptions'!B12</f>
        <v>Sauerkraut</v>
      </c>
      <c r="D15" s="56">
        <f>'Production Assumptions'!BB12*$D$9</f>
        <v>242500</v>
      </c>
      <c r="E15" s="56">
        <f>'Production Assumptions'!BB12*(1+'Production Assumptions'!$C$51)</f>
        <v>244925</v>
      </c>
      <c r="F15" s="56">
        <f>E15*(1+'Production Assumptions'!$C$51)</f>
        <v>247374.25</v>
      </c>
      <c r="G15" s="56">
        <f>F15*(1+'Production Assumptions'!$C$51)</f>
        <v>249847.99249999999</v>
      </c>
      <c r="H15" s="56">
        <f>G15*(1+'Production Assumptions'!$C$51)</f>
        <v>252346.47242499999</v>
      </c>
      <c r="I15" s="56">
        <f>H15*(1+'Production Assumptions'!$C$51)</f>
        <v>254869.93714924998</v>
      </c>
      <c r="J15" s="56">
        <f>I15*(1+'Production Assumptions'!$C$51)</f>
        <v>257418.63652074247</v>
      </c>
      <c r="K15" s="56">
        <f>J15*(1+'Production Assumptions'!$C$51)</f>
        <v>259992.82288594989</v>
      </c>
      <c r="L15" s="56">
        <f>K15*(1+'Production Assumptions'!$C$51)</f>
        <v>262592.75111480942</v>
      </c>
      <c r="M15" s="56">
        <f>L15*(1+'Production Assumptions'!$C$51)</f>
        <v>265218.67862595752</v>
      </c>
      <c r="N15" s="133"/>
    </row>
    <row r="16" spans="2:14" x14ac:dyDescent="0.25">
      <c r="B16" s="96" t="str">
        <f>'Production Assumptions'!B13</f>
        <v>Cucumber Relish</v>
      </c>
      <c r="C16" s="45"/>
      <c r="D16" s="56">
        <f>'Production Assumptions'!BB13*$D$9</f>
        <v>232799.99999999997</v>
      </c>
      <c r="E16" s="56">
        <f>'Production Assumptions'!BB13*(1+'Production Assumptions'!$C$51)</f>
        <v>235127.99999999997</v>
      </c>
      <c r="F16" s="56">
        <f>E16*(1+'Production Assumptions'!$C$51)</f>
        <v>237479.27999999997</v>
      </c>
      <c r="G16" s="56">
        <f>F16*(1+'Production Assumptions'!$C$51)</f>
        <v>239854.07279999997</v>
      </c>
      <c r="H16" s="56">
        <f>G16*(1+'Production Assumptions'!$C$51)</f>
        <v>242252.61352799996</v>
      </c>
      <c r="I16" s="56">
        <f>H16*(1+'Production Assumptions'!$C$51)</f>
        <v>244675.13966327996</v>
      </c>
      <c r="J16" s="56">
        <f>I16*(1+'Production Assumptions'!$C$51)</f>
        <v>247121.89105991277</v>
      </c>
      <c r="K16" s="56">
        <f>J16*(1+'Production Assumptions'!$C$51)</f>
        <v>249593.1099705119</v>
      </c>
      <c r="L16" s="56">
        <f>K16*(1+'Production Assumptions'!$C$51)</f>
        <v>252089.041070217</v>
      </c>
      <c r="M16" s="56">
        <f>L16*(1+'Production Assumptions'!$C$51)</f>
        <v>254609.93148091919</v>
      </c>
      <c r="N16" s="133"/>
    </row>
    <row r="17" spans="2:14" x14ac:dyDescent="0.25">
      <c r="B17" s="96" t="str">
        <f>'Production Assumptions'!B14</f>
        <v>Enter Product 3 Name Here</v>
      </c>
      <c r="C17" s="136"/>
      <c r="D17" s="56">
        <f>'Production Assumptions'!BB14*$D$9</f>
        <v>0</v>
      </c>
      <c r="E17" s="56">
        <f>'Production Assumptions'!BB14*(1+'Production Assumptions'!$C$51)</f>
        <v>0</v>
      </c>
      <c r="F17" s="56">
        <f>E17*(1+'Production Assumptions'!$C$51)</f>
        <v>0</v>
      </c>
      <c r="G17" s="56">
        <f>F17*(1+'Production Assumptions'!$C$51)</f>
        <v>0</v>
      </c>
      <c r="H17" s="56">
        <f>G17*(1+'Production Assumptions'!$C$51)</f>
        <v>0</v>
      </c>
      <c r="I17" s="56">
        <f>H17*(1+'Production Assumptions'!$C$51)</f>
        <v>0</v>
      </c>
      <c r="J17" s="56">
        <f>I17*(1+'Production Assumptions'!$C$51)</f>
        <v>0</v>
      </c>
      <c r="K17" s="56">
        <f>J17*(1+'Production Assumptions'!$C$51)</f>
        <v>0</v>
      </c>
      <c r="L17" s="56">
        <f>K17*(1+'Production Assumptions'!$C$51)</f>
        <v>0</v>
      </c>
      <c r="M17" s="56">
        <f>L17*(1+'Production Assumptions'!$C$51)</f>
        <v>0</v>
      </c>
      <c r="N17" s="99"/>
    </row>
    <row r="18" spans="2:14" x14ac:dyDescent="0.25">
      <c r="B18" s="96" t="str">
        <f>'Production Assumptions'!B15</f>
        <v>Enter Product 4 Name Here</v>
      </c>
      <c r="C18" s="94"/>
      <c r="D18" s="56">
        <f>'Production Assumptions'!BB15*$D$9</f>
        <v>0</v>
      </c>
      <c r="E18" s="56">
        <f>'Production Assumptions'!BB15*(1+'Production Assumptions'!$C$51)</f>
        <v>0</v>
      </c>
      <c r="F18" s="56">
        <f>E18*(1+'Production Assumptions'!$C$51)</f>
        <v>0</v>
      </c>
      <c r="G18" s="56">
        <f>F18*(1+'Production Assumptions'!$C$51)</f>
        <v>0</v>
      </c>
      <c r="H18" s="56">
        <f>G18*(1+'Production Assumptions'!$C$51)</f>
        <v>0</v>
      </c>
      <c r="I18" s="56">
        <f>H18*(1+'Production Assumptions'!$C$51)</f>
        <v>0</v>
      </c>
      <c r="J18" s="56">
        <f>I18*(1+'Production Assumptions'!$C$51)</f>
        <v>0</v>
      </c>
      <c r="K18" s="56">
        <f>J18*(1+'Production Assumptions'!$C$51)</f>
        <v>0</v>
      </c>
      <c r="L18" s="56">
        <f>K18*(1+'Production Assumptions'!$C$51)</f>
        <v>0</v>
      </c>
      <c r="M18" s="56">
        <f>L18*(1+'Production Assumptions'!$C$51)</f>
        <v>0</v>
      </c>
      <c r="N18" s="99"/>
    </row>
    <row r="19" spans="2:14" x14ac:dyDescent="0.25">
      <c r="B19" s="96" t="str">
        <f>'Production Assumptions'!B16</f>
        <v>Enter Product 5 Name Here</v>
      </c>
      <c r="D19" s="56">
        <f>'Production Assumptions'!BB16*$D$9</f>
        <v>0</v>
      </c>
      <c r="E19" s="56">
        <f>'Production Assumptions'!BB16*(1+'Production Assumptions'!$C$51)</f>
        <v>0</v>
      </c>
      <c r="F19" s="56">
        <f>E19*(1+'Production Assumptions'!$C$51)</f>
        <v>0</v>
      </c>
      <c r="G19" s="56">
        <f>F19*(1+'Production Assumptions'!$C$51)</f>
        <v>0</v>
      </c>
      <c r="H19" s="56">
        <f>G19*(1+'Production Assumptions'!$C$51)</f>
        <v>0</v>
      </c>
      <c r="I19" s="56">
        <f>H19*(1+'Production Assumptions'!$C$51)</f>
        <v>0</v>
      </c>
      <c r="J19" s="56">
        <f>I19*(1+'Production Assumptions'!$C$51)</f>
        <v>0</v>
      </c>
      <c r="K19" s="56">
        <f>J19*(1+'Production Assumptions'!$C$51)</f>
        <v>0</v>
      </c>
      <c r="L19" s="56">
        <f>K19*(1+'Production Assumptions'!$C$51)</f>
        <v>0</v>
      </c>
      <c r="M19" s="56">
        <f>L19*(1+'Production Assumptions'!$C$51)</f>
        <v>0</v>
      </c>
      <c r="N19" s="133"/>
    </row>
    <row r="20" spans="2:14" x14ac:dyDescent="0.25">
      <c r="B20" s="96" t="str">
        <f>'Production Assumptions'!B17</f>
        <v>Enter Product 6 Name Here</v>
      </c>
      <c r="D20" s="56">
        <f>'Production Assumptions'!BB17*$D$9</f>
        <v>0</v>
      </c>
      <c r="E20" s="56">
        <f>'Production Assumptions'!BB17*(1+'Production Assumptions'!$C$51)</f>
        <v>0</v>
      </c>
      <c r="F20" s="56">
        <f>E20*(1+'Production Assumptions'!$C$51)</f>
        <v>0</v>
      </c>
      <c r="G20" s="56">
        <f>F20*(1+'Production Assumptions'!$C$51)</f>
        <v>0</v>
      </c>
      <c r="H20" s="56">
        <f>G20*(1+'Production Assumptions'!$C$51)</f>
        <v>0</v>
      </c>
      <c r="I20" s="56">
        <f>H20*(1+'Production Assumptions'!$C$51)</f>
        <v>0</v>
      </c>
      <c r="J20" s="56">
        <f>I20*(1+'Production Assumptions'!$C$51)</f>
        <v>0</v>
      </c>
      <c r="K20" s="56">
        <f>J20*(1+'Production Assumptions'!$C$51)</f>
        <v>0</v>
      </c>
      <c r="L20" s="56">
        <f>K20*(1+'Production Assumptions'!$C$51)</f>
        <v>0</v>
      </c>
      <c r="M20" s="56">
        <f>L20*(1+'Production Assumptions'!$C$51)</f>
        <v>0</v>
      </c>
      <c r="N20" s="133"/>
    </row>
    <row r="21" spans="2:14" x14ac:dyDescent="0.25">
      <c r="B21" s="96" t="str">
        <f>'Production Assumptions'!B18</f>
        <v>Enter Product 7 Name Here</v>
      </c>
      <c r="C21" s="45"/>
      <c r="D21" s="56">
        <f>'Production Assumptions'!BB18*$D$9</f>
        <v>0</v>
      </c>
      <c r="E21" s="56">
        <f>'Production Assumptions'!BB18*(1+'Production Assumptions'!$C$51)</f>
        <v>0</v>
      </c>
      <c r="F21" s="56">
        <f>E21*(1+'Production Assumptions'!$C$51)</f>
        <v>0</v>
      </c>
      <c r="G21" s="56">
        <f>F21*(1+'Production Assumptions'!$C$51)</f>
        <v>0</v>
      </c>
      <c r="H21" s="56">
        <f>G21*(1+'Production Assumptions'!$C$51)</f>
        <v>0</v>
      </c>
      <c r="I21" s="56">
        <f>H21*(1+'Production Assumptions'!$C$51)</f>
        <v>0</v>
      </c>
      <c r="J21" s="56">
        <f>I21*(1+'Production Assumptions'!$C$51)</f>
        <v>0</v>
      </c>
      <c r="K21" s="56">
        <f>J21*(1+'Production Assumptions'!$C$51)</f>
        <v>0</v>
      </c>
      <c r="L21" s="56">
        <f>K21*(1+'Production Assumptions'!$C$51)</f>
        <v>0</v>
      </c>
      <c r="M21" s="56">
        <f>L21*(1+'Production Assumptions'!$C$51)</f>
        <v>0</v>
      </c>
      <c r="N21" s="133"/>
    </row>
    <row r="22" spans="2:14" x14ac:dyDescent="0.25">
      <c r="B22" s="96" t="str">
        <f>'Production Assumptions'!B19</f>
        <v>Enter Product 8 Name Here</v>
      </c>
      <c r="C22" s="136"/>
      <c r="D22" s="56">
        <f>'Production Assumptions'!BB19*$D$9</f>
        <v>0</v>
      </c>
      <c r="E22" s="56">
        <f>'Production Assumptions'!BB19*(1+'Production Assumptions'!$C$51)</f>
        <v>0</v>
      </c>
      <c r="F22" s="56">
        <f>E22*(1+'Production Assumptions'!$C$51)</f>
        <v>0</v>
      </c>
      <c r="G22" s="56">
        <f>F22*(1+'Production Assumptions'!$C$51)</f>
        <v>0</v>
      </c>
      <c r="H22" s="56">
        <f>G22*(1+'Production Assumptions'!$C$51)</f>
        <v>0</v>
      </c>
      <c r="I22" s="56">
        <f>H22*(1+'Production Assumptions'!$C$51)</f>
        <v>0</v>
      </c>
      <c r="J22" s="56">
        <f>I22*(1+'Production Assumptions'!$C$51)</f>
        <v>0</v>
      </c>
      <c r="K22" s="56">
        <f>J22*(1+'Production Assumptions'!$C$51)</f>
        <v>0</v>
      </c>
      <c r="L22" s="56">
        <f>K22*(1+'Production Assumptions'!$C$51)</f>
        <v>0</v>
      </c>
      <c r="M22" s="56">
        <f>L22*(1+'Production Assumptions'!$C$51)</f>
        <v>0</v>
      </c>
      <c r="N22" s="133"/>
    </row>
    <row r="23" spans="2:14" x14ac:dyDescent="0.25">
      <c r="B23" s="96" t="str">
        <f>'Production Assumptions'!B20</f>
        <v>Enter Product 9 Name Here</v>
      </c>
      <c r="C23" s="94"/>
      <c r="D23" s="56">
        <f>'Production Assumptions'!BB20*$D$9</f>
        <v>0</v>
      </c>
      <c r="E23" s="56">
        <f>'Production Assumptions'!BB20*(1+'Production Assumptions'!$C$51)</f>
        <v>0</v>
      </c>
      <c r="F23" s="56">
        <f>E23*(1+'Production Assumptions'!$C$51)</f>
        <v>0</v>
      </c>
      <c r="G23" s="56">
        <f>F23*(1+'Production Assumptions'!$C$51)</f>
        <v>0</v>
      </c>
      <c r="H23" s="56">
        <f>G23*(1+'Production Assumptions'!$C$51)</f>
        <v>0</v>
      </c>
      <c r="I23" s="56">
        <f>H23*(1+'Production Assumptions'!$C$51)</f>
        <v>0</v>
      </c>
      <c r="J23" s="56">
        <f>I23*(1+'Production Assumptions'!$C$51)</f>
        <v>0</v>
      </c>
      <c r="K23" s="56">
        <f>J23*(1+'Production Assumptions'!$C$51)</f>
        <v>0</v>
      </c>
      <c r="L23" s="56">
        <f>K23*(1+'Production Assumptions'!$C$51)</f>
        <v>0</v>
      </c>
      <c r="M23" s="56">
        <f>L23*(1+'Production Assumptions'!$C$51)</f>
        <v>0</v>
      </c>
      <c r="N23" s="99"/>
    </row>
    <row r="24" spans="2:14" x14ac:dyDescent="0.25">
      <c r="B24" s="96" t="str">
        <f>'Production Assumptions'!B21</f>
        <v>Enter Product 10 Name Here</v>
      </c>
      <c r="D24" s="56">
        <f>'Production Assumptions'!BB21*$D$9</f>
        <v>0</v>
      </c>
      <c r="E24" s="56">
        <f>'Production Assumptions'!BB21*(1+'Production Assumptions'!$C$51)</f>
        <v>0</v>
      </c>
      <c r="F24" s="56">
        <f>E24*(1+'Production Assumptions'!$C$51)</f>
        <v>0</v>
      </c>
      <c r="G24" s="56">
        <f>F24*(1+'Production Assumptions'!$C$51)</f>
        <v>0</v>
      </c>
      <c r="H24" s="56">
        <f>G24*(1+'Production Assumptions'!$C$51)</f>
        <v>0</v>
      </c>
      <c r="I24" s="56">
        <f>H24*(1+'Production Assumptions'!$C$51)</f>
        <v>0</v>
      </c>
      <c r="J24" s="56">
        <f>I24*(1+'Production Assumptions'!$C$51)</f>
        <v>0</v>
      </c>
      <c r="K24" s="56">
        <f>J24*(1+'Production Assumptions'!$C$51)</f>
        <v>0</v>
      </c>
      <c r="L24" s="56">
        <f>K24*(1+'Production Assumptions'!$C$51)</f>
        <v>0</v>
      </c>
      <c r="M24" s="56">
        <f>L24*(1+'Production Assumptions'!$C$51)</f>
        <v>0</v>
      </c>
      <c r="N24" s="99"/>
    </row>
    <row r="26" spans="2:14" x14ac:dyDescent="0.25">
      <c r="B26" s="53" t="s">
        <v>63</v>
      </c>
      <c r="D26" s="94">
        <f>SUM(D15:D24)</f>
        <v>475300</v>
      </c>
      <c r="E26" s="94">
        <f t="shared" ref="E26:M26" si="0">SUM(E15:E24)</f>
        <v>480053</v>
      </c>
      <c r="F26" s="94">
        <f t="shared" si="0"/>
        <v>484853.52999999997</v>
      </c>
      <c r="G26" s="94">
        <f t="shared" si="0"/>
        <v>489702.06529999996</v>
      </c>
      <c r="H26" s="94">
        <f t="shared" si="0"/>
        <v>494599.08595299994</v>
      </c>
      <c r="I26" s="94">
        <f t="shared" si="0"/>
        <v>499545.07681252994</v>
      </c>
      <c r="J26" s="94">
        <f t="shared" si="0"/>
        <v>504540.52758065524</v>
      </c>
      <c r="K26" s="94">
        <f t="shared" si="0"/>
        <v>509585.93285646179</v>
      </c>
      <c r="L26" s="94">
        <f t="shared" si="0"/>
        <v>514681.79218502645</v>
      </c>
      <c r="M26" s="94">
        <f t="shared" si="0"/>
        <v>519828.6101068767</v>
      </c>
    </row>
    <row r="28" spans="2:14" x14ac:dyDescent="0.25">
      <c r="B28" s="53" t="s">
        <v>99</v>
      </c>
    </row>
    <row r="29" spans="2:14" x14ac:dyDescent="0.25"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2:14" x14ac:dyDescent="0.25">
      <c r="B30" s="55" t="str">
        <f>B15</f>
        <v>Sauerkraut</v>
      </c>
      <c r="D30" s="137">
        <f>$D$9*'Production Assumptions'!BB24</f>
        <v>129000</v>
      </c>
      <c r="E30" s="137">
        <f>'Production Assumptions'!BB24*(1+'Expense Projection'!$E$9)</f>
        <v>130290</v>
      </c>
      <c r="F30" s="137">
        <f>E30*(1+'Expense Projection'!$E$9)</f>
        <v>131592.9</v>
      </c>
      <c r="G30" s="137">
        <f>F30*(1+'Expense Projection'!$E$9)</f>
        <v>132908.829</v>
      </c>
      <c r="H30" s="137">
        <f>G30*(1+'Expense Projection'!$E$9)</f>
        <v>134237.91729000001</v>
      </c>
      <c r="I30" s="137">
        <f>H30*(1+'Expense Projection'!$E$9)</f>
        <v>135580.29646290001</v>
      </c>
      <c r="J30" s="137">
        <f>I30*(1+'Expense Projection'!$E$9)</f>
        <v>136936.099427529</v>
      </c>
      <c r="K30" s="137">
        <f>J30*(1+'Expense Projection'!$E$9)</f>
        <v>138305.46042180428</v>
      </c>
      <c r="L30" s="137">
        <f>K30*(1+'Expense Projection'!$E$9)</f>
        <v>139688.51502602233</v>
      </c>
      <c r="M30" s="137">
        <f>L30*(1+'Expense Projection'!$E$9)</f>
        <v>141085.40017628256</v>
      </c>
    </row>
    <row r="31" spans="2:14" x14ac:dyDescent="0.25">
      <c r="B31" s="55" t="str">
        <f t="shared" ref="B31:B39" si="1">B16</f>
        <v>Cucumber Relish</v>
      </c>
      <c r="D31" s="137">
        <f>$D$9*'Production Assumptions'!BB25</f>
        <v>138500</v>
      </c>
      <c r="E31" s="137">
        <f>'Production Assumptions'!BB25*(1+'Expense Projection'!$E$9)</f>
        <v>139885</v>
      </c>
      <c r="F31" s="137">
        <f>E31*(1+'Expense Projection'!$E$9)</f>
        <v>141283.85</v>
      </c>
      <c r="G31" s="137">
        <f>F31*(1+'Expense Projection'!$E$9)</f>
        <v>142696.68850000002</v>
      </c>
      <c r="H31" s="137">
        <f>G31*(1+'Expense Projection'!$E$9)</f>
        <v>144123.65538500002</v>
      </c>
      <c r="I31" s="137">
        <f>H31*(1+'Expense Projection'!$E$9)</f>
        <v>145564.89193885002</v>
      </c>
      <c r="J31" s="137">
        <f>I31*(1+'Expense Projection'!$E$9)</f>
        <v>147020.54085823853</v>
      </c>
      <c r="K31" s="137">
        <f>J31*(1+'Expense Projection'!$E$9)</f>
        <v>148490.7462668209</v>
      </c>
      <c r="L31" s="137">
        <f>K31*(1+'Expense Projection'!$E$9)</f>
        <v>149975.6537294891</v>
      </c>
      <c r="M31" s="137">
        <f>L31*(1+'Expense Projection'!$E$9)</f>
        <v>151475.41026678399</v>
      </c>
    </row>
    <row r="32" spans="2:14" x14ac:dyDescent="0.25">
      <c r="B32" s="55" t="str">
        <f t="shared" si="1"/>
        <v>Enter Product 3 Name Here</v>
      </c>
      <c r="D32" s="137">
        <f>$D$9*'Production Assumptions'!BB26</f>
        <v>0</v>
      </c>
      <c r="E32" s="137">
        <f>'Production Assumptions'!BB26*(1+'Expense Projection'!$E$9)</f>
        <v>0</v>
      </c>
      <c r="F32" s="137">
        <f>E32*(1+'Expense Projection'!$E$9)</f>
        <v>0</v>
      </c>
      <c r="G32" s="137">
        <f>F32*(1+'Expense Projection'!$E$9)</f>
        <v>0</v>
      </c>
      <c r="H32" s="137">
        <f>G32*(1+'Expense Projection'!$E$9)</f>
        <v>0</v>
      </c>
      <c r="I32" s="137">
        <f>H32*(1+'Expense Projection'!$E$9)</f>
        <v>0</v>
      </c>
      <c r="J32" s="137">
        <f>I32*(1+'Expense Projection'!$E$9)</f>
        <v>0</v>
      </c>
      <c r="K32" s="137">
        <f>J32*(1+'Expense Projection'!$E$9)</f>
        <v>0</v>
      </c>
      <c r="L32" s="137">
        <f>K32*(1+'Expense Projection'!$E$9)</f>
        <v>0</v>
      </c>
      <c r="M32" s="137">
        <f>L32*(1+'Expense Projection'!$E$9)</f>
        <v>0</v>
      </c>
    </row>
    <row r="33" spans="2:13" x14ac:dyDescent="0.25">
      <c r="B33" s="55" t="str">
        <f t="shared" si="1"/>
        <v>Enter Product 4 Name Here</v>
      </c>
      <c r="C33" s="45"/>
      <c r="D33" s="137">
        <f>$D$9*'Production Assumptions'!BB27</f>
        <v>0</v>
      </c>
      <c r="E33" s="137">
        <f>'Production Assumptions'!BB27*(1+'Expense Projection'!$E$9)</f>
        <v>0</v>
      </c>
      <c r="F33" s="137">
        <f>E33*(1+'Expense Projection'!$E$9)</f>
        <v>0</v>
      </c>
      <c r="G33" s="137">
        <f>F33*(1+'Expense Projection'!$E$9)</f>
        <v>0</v>
      </c>
      <c r="H33" s="137">
        <f>G33*(1+'Expense Projection'!$E$9)</f>
        <v>0</v>
      </c>
      <c r="I33" s="137">
        <f>H33*(1+'Expense Projection'!$E$9)</f>
        <v>0</v>
      </c>
      <c r="J33" s="137">
        <f>I33*(1+'Expense Projection'!$E$9)</f>
        <v>0</v>
      </c>
      <c r="K33" s="137">
        <f>J33*(1+'Expense Projection'!$E$9)</f>
        <v>0</v>
      </c>
      <c r="L33" s="137">
        <f>K33*(1+'Expense Projection'!$E$9)</f>
        <v>0</v>
      </c>
      <c r="M33" s="137">
        <f>L33*(1+'Expense Projection'!$E$9)</f>
        <v>0</v>
      </c>
    </row>
    <row r="34" spans="2:13" x14ac:dyDescent="0.25">
      <c r="B34" s="55" t="str">
        <f t="shared" si="1"/>
        <v>Enter Product 5 Name Here</v>
      </c>
      <c r="C34" s="45"/>
      <c r="D34" s="137">
        <f>$D$9*'Production Assumptions'!BB28</f>
        <v>0</v>
      </c>
      <c r="E34" s="137">
        <f>'Production Assumptions'!BB28*(1+'Expense Projection'!$E$9)</f>
        <v>0</v>
      </c>
      <c r="F34" s="137">
        <f>E34*(1+'Expense Projection'!$E$9)</f>
        <v>0</v>
      </c>
      <c r="G34" s="137">
        <f>F34*(1+'Expense Projection'!$E$9)</f>
        <v>0</v>
      </c>
      <c r="H34" s="137">
        <f>G34*(1+'Expense Projection'!$E$9)</f>
        <v>0</v>
      </c>
      <c r="I34" s="137">
        <f>H34*(1+'Expense Projection'!$E$9)</f>
        <v>0</v>
      </c>
      <c r="J34" s="137">
        <f>I34*(1+'Expense Projection'!$E$9)</f>
        <v>0</v>
      </c>
      <c r="K34" s="137">
        <f>J34*(1+'Expense Projection'!$E$9)</f>
        <v>0</v>
      </c>
      <c r="L34" s="137">
        <f>K34*(1+'Expense Projection'!$E$9)</f>
        <v>0</v>
      </c>
      <c r="M34" s="137">
        <f>L34*(1+'Expense Projection'!$E$9)</f>
        <v>0</v>
      </c>
    </row>
    <row r="35" spans="2:13" x14ac:dyDescent="0.25">
      <c r="B35" s="55" t="str">
        <f t="shared" si="1"/>
        <v>Enter Product 6 Name Here</v>
      </c>
      <c r="C35" s="45"/>
      <c r="D35" s="137">
        <f>$D$9*'Production Assumptions'!BB29</f>
        <v>0</v>
      </c>
      <c r="E35" s="137">
        <f>'Production Assumptions'!BB29*(1+'Expense Projection'!$E$9)</f>
        <v>0</v>
      </c>
      <c r="F35" s="137">
        <f>E35*(1+'Expense Projection'!$E$9)</f>
        <v>0</v>
      </c>
      <c r="G35" s="137">
        <f>F35*(1+'Expense Projection'!$E$9)</f>
        <v>0</v>
      </c>
      <c r="H35" s="137">
        <f>G35*(1+'Expense Projection'!$E$9)</f>
        <v>0</v>
      </c>
      <c r="I35" s="137">
        <f>H35*(1+'Expense Projection'!$E$9)</f>
        <v>0</v>
      </c>
      <c r="J35" s="137">
        <f>I35*(1+'Expense Projection'!$E$9)</f>
        <v>0</v>
      </c>
      <c r="K35" s="137">
        <f>J35*(1+'Expense Projection'!$E$9)</f>
        <v>0</v>
      </c>
      <c r="L35" s="137">
        <f>K35*(1+'Expense Projection'!$E$9)</f>
        <v>0</v>
      </c>
      <c r="M35" s="137">
        <f>L35*(1+'Expense Projection'!$E$9)</f>
        <v>0</v>
      </c>
    </row>
    <row r="36" spans="2:13" x14ac:dyDescent="0.25">
      <c r="B36" s="55" t="str">
        <f t="shared" si="1"/>
        <v>Enter Product 7 Name Here</v>
      </c>
      <c r="C36" s="45"/>
      <c r="D36" s="137">
        <f>$D$9*'Production Assumptions'!BB30</f>
        <v>0</v>
      </c>
      <c r="E36" s="137">
        <f>'Production Assumptions'!BB30*(1+'Expense Projection'!$E$9)</f>
        <v>0</v>
      </c>
      <c r="F36" s="137">
        <f>E36*(1+'Expense Projection'!$E$9)</f>
        <v>0</v>
      </c>
      <c r="G36" s="137">
        <f>F36*(1+'Expense Projection'!$E$9)</f>
        <v>0</v>
      </c>
      <c r="H36" s="137">
        <f>G36*(1+'Expense Projection'!$E$9)</f>
        <v>0</v>
      </c>
      <c r="I36" s="137">
        <f>H36*(1+'Expense Projection'!$E$9)</f>
        <v>0</v>
      </c>
      <c r="J36" s="137">
        <f>I36*(1+'Expense Projection'!$E$9)</f>
        <v>0</v>
      </c>
      <c r="K36" s="137">
        <f>J36*(1+'Expense Projection'!$E$9)</f>
        <v>0</v>
      </c>
      <c r="L36" s="137">
        <f>K36*(1+'Expense Projection'!$E$9)</f>
        <v>0</v>
      </c>
      <c r="M36" s="137">
        <f>L36*(1+'Expense Projection'!$E$9)</f>
        <v>0</v>
      </c>
    </row>
    <row r="37" spans="2:13" x14ac:dyDescent="0.25">
      <c r="B37" s="55" t="str">
        <f t="shared" si="1"/>
        <v>Enter Product 8 Name Here</v>
      </c>
      <c r="C37" s="45"/>
      <c r="D37" s="137">
        <f>$D$9*'Production Assumptions'!BB31</f>
        <v>0</v>
      </c>
      <c r="E37" s="137">
        <f>'Production Assumptions'!BB31*(1+'Expense Projection'!$E$9)</f>
        <v>0</v>
      </c>
      <c r="F37" s="137">
        <f>E37*(1+'Expense Projection'!$E$9)</f>
        <v>0</v>
      </c>
      <c r="G37" s="137">
        <f>F37*(1+'Expense Projection'!$E$9)</f>
        <v>0</v>
      </c>
      <c r="H37" s="137">
        <f>G37*(1+'Expense Projection'!$E$9)</f>
        <v>0</v>
      </c>
      <c r="I37" s="137">
        <f>H37*(1+'Expense Projection'!$E$9)</f>
        <v>0</v>
      </c>
      <c r="J37" s="137">
        <f>I37*(1+'Expense Projection'!$E$9)</f>
        <v>0</v>
      </c>
      <c r="K37" s="137">
        <f>J37*(1+'Expense Projection'!$E$9)</f>
        <v>0</v>
      </c>
      <c r="L37" s="137">
        <f>K37*(1+'Expense Projection'!$E$9)</f>
        <v>0</v>
      </c>
      <c r="M37" s="137">
        <f>L37*(1+'Expense Projection'!$E$9)</f>
        <v>0</v>
      </c>
    </row>
    <row r="38" spans="2:13" x14ac:dyDescent="0.25">
      <c r="B38" s="55" t="str">
        <f t="shared" si="1"/>
        <v>Enter Product 9 Name Here</v>
      </c>
      <c r="C38" s="45"/>
      <c r="D38" s="137">
        <f>$D$9*'Production Assumptions'!BB32</f>
        <v>0</v>
      </c>
      <c r="E38" s="137">
        <f>'Production Assumptions'!BB32*(1+'Expense Projection'!$E$9)</f>
        <v>0</v>
      </c>
      <c r="F38" s="137">
        <f>E38*(1+'Expense Projection'!$E$9)</f>
        <v>0</v>
      </c>
      <c r="G38" s="137">
        <f>F38*(1+'Expense Projection'!$E$9)</f>
        <v>0</v>
      </c>
      <c r="H38" s="137">
        <f>G38*(1+'Expense Projection'!$E$9)</f>
        <v>0</v>
      </c>
      <c r="I38" s="137">
        <f>H38*(1+'Expense Projection'!$E$9)</f>
        <v>0</v>
      </c>
      <c r="J38" s="137">
        <f>I38*(1+'Expense Projection'!$E$9)</f>
        <v>0</v>
      </c>
      <c r="K38" s="137">
        <f>J38*(1+'Expense Projection'!$E$9)</f>
        <v>0</v>
      </c>
      <c r="L38" s="137">
        <f>K38*(1+'Expense Projection'!$E$9)</f>
        <v>0</v>
      </c>
      <c r="M38" s="137">
        <f>L38*(1+'Expense Projection'!$E$9)</f>
        <v>0</v>
      </c>
    </row>
    <row r="39" spans="2:13" x14ac:dyDescent="0.25">
      <c r="B39" s="55" t="str">
        <f t="shared" si="1"/>
        <v>Enter Product 10 Name Here</v>
      </c>
      <c r="C39" s="45"/>
      <c r="D39" s="137">
        <f>$D$9*'Production Assumptions'!BB33</f>
        <v>0</v>
      </c>
      <c r="E39" s="137">
        <f>'Production Assumptions'!BB33*(1+'Expense Projection'!$E$9)</f>
        <v>0</v>
      </c>
      <c r="F39" s="137">
        <f>E39*(1+'Expense Projection'!$E$9)</f>
        <v>0</v>
      </c>
      <c r="G39" s="137">
        <f>F39*(1+'Expense Projection'!$E$9)</f>
        <v>0</v>
      </c>
      <c r="H39" s="137">
        <f>G39*(1+'Expense Projection'!$E$9)</f>
        <v>0</v>
      </c>
      <c r="I39" s="137">
        <f>H39*(1+'Expense Projection'!$E$9)</f>
        <v>0</v>
      </c>
      <c r="J39" s="137">
        <f>I39*(1+'Expense Projection'!$E$9)</f>
        <v>0</v>
      </c>
      <c r="K39" s="137">
        <f>J39*(1+'Expense Projection'!$E$9)</f>
        <v>0</v>
      </c>
      <c r="L39" s="137">
        <f>K39*(1+'Expense Projection'!$E$9)</f>
        <v>0</v>
      </c>
      <c r="M39" s="137">
        <f>L39*(1+'Expense Projection'!$E$9)</f>
        <v>0</v>
      </c>
    </row>
    <row r="40" spans="2:13" x14ac:dyDescent="0.25">
      <c r="B40" s="55"/>
      <c r="C40" s="134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  <row r="41" spans="2:13" x14ac:dyDescent="0.25">
      <c r="B41" s="53" t="s">
        <v>98</v>
      </c>
      <c r="D41" s="98">
        <f>SUM(D30:D39)</f>
        <v>267500</v>
      </c>
      <c r="E41" s="98">
        <f t="shared" ref="E41:M41" si="2">SUM(E30:E39)</f>
        <v>270175</v>
      </c>
      <c r="F41" s="98">
        <f t="shared" si="2"/>
        <v>272876.75</v>
      </c>
      <c r="G41" s="98">
        <f t="shared" si="2"/>
        <v>275605.51750000002</v>
      </c>
      <c r="H41" s="98">
        <f t="shared" si="2"/>
        <v>278361.57267500006</v>
      </c>
      <c r="I41" s="98">
        <f t="shared" si="2"/>
        <v>281145.18840175006</v>
      </c>
      <c r="J41" s="98">
        <f t="shared" si="2"/>
        <v>283956.6402857675</v>
      </c>
      <c r="K41" s="98">
        <f t="shared" si="2"/>
        <v>286796.20668862516</v>
      </c>
      <c r="L41" s="98">
        <f t="shared" si="2"/>
        <v>289664.1687555114</v>
      </c>
      <c r="M41" s="98">
        <f t="shared" si="2"/>
        <v>292560.81044306653</v>
      </c>
    </row>
    <row r="44" spans="2:13" x14ac:dyDescent="0.25"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2:13" x14ac:dyDescent="0.25"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2:13" x14ac:dyDescent="0.25">
      <c r="C46" s="134"/>
      <c r="D46" s="134"/>
      <c r="E46" s="134"/>
      <c r="F46" s="134"/>
      <c r="G46" s="134"/>
      <c r="H46" s="134"/>
      <c r="I46" s="134"/>
      <c r="J46" s="134"/>
      <c r="K46" s="134"/>
      <c r="L46" s="134"/>
    </row>
  </sheetData>
  <sheetProtection password="E114" sheet="1" objects="1" scenarios="1" selectLockedCells="1"/>
  <phoneticPr fontId="0" type="noConversion"/>
  <hyperlinks>
    <hyperlink ref="B3" location="'Production Assumptions'!A1" display="Production Assumptions" xr:uid="{00000000-0004-0000-0300-000000000000}"/>
    <hyperlink ref="B4" location="'Personnel Expenses'!A1" display="Personnel Expenses" xr:uid="{00000000-0004-0000-0300-000001000000}"/>
    <hyperlink ref="B5" location="'Expense Projection'!A1" display="Expense Projection" xr:uid="{00000000-0004-0000-0300-000002000000}"/>
    <hyperlink ref="B6" location="'Profit &amp; Loss'!A1" display="Profit/Loss Summary" xr:uid="{00000000-0004-0000-0300-000003000000}"/>
    <hyperlink ref="B7" location="'Return On Investment'!A1" display="Return on Investment" xr:uid="{00000000-0004-0000-0300-000004000000}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11"/>
  <sheetViews>
    <sheetView showGridLines="0" showRowColHeaders="0" workbookViewId="0">
      <selection activeCell="C7" sqref="C7"/>
    </sheetView>
  </sheetViews>
  <sheetFormatPr defaultColWidth="9.109375" defaultRowHeight="13.2" x14ac:dyDescent="0.25"/>
  <cols>
    <col min="1" max="1" width="5.6640625" style="41" customWidth="1"/>
    <col min="2" max="2" width="24.33203125" style="41" customWidth="1"/>
    <col min="3" max="4" width="13.44140625" style="41" bestFit="1" customWidth="1"/>
    <col min="5" max="12" width="12.33203125" style="41" bestFit="1" customWidth="1"/>
    <col min="13" max="16384" width="9.109375" style="41"/>
  </cols>
  <sheetData>
    <row r="1" spans="2:12" x14ac:dyDescent="0.25">
      <c r="B1" s="53" t="s">
        <v>265</v>
      </c>
    </row>
    <row r="2" spans="2:12" x14ac:dyDescent="0.25">
      <c r="B2" s="54" t="s">
        <v>199</v>
      </c>
    </row>
    <row r="3" spans="2:12" x14ac:dyDescent="0.25">
      <c r="B3" s="59" t="s">
        <v>196</v>
      </c>
    </row>
    <row r="4" spans="2:12" x14ac:dyDescent="0.25">
      <c r="B4" s="59" t="s">
        <v>193</v>
      </c>
    </row>
    <row r="5" spans="2:12" x14ac:dyDescent="0.25">
      <c r="B5" s="59"/>
    </row>
    <row r="6" spans="2:12" x14ac:dyDescent="0.25">
      <c r="B6" s="53" t="s">
        <v>228</v>
      </c>
      <c r="C6" s="142">
        <v>20000</v>
      </c>
      <c r="D6" s="54" t="s">
        <v>229</v>
      </c>
    </row>
    <row r="7" spans="2:12" x14ac:dyDescent="0.25">
      <c r="B7" s="53" t="s">
        <v>10</v>
      </c>
      <c r="C7" s="143">
        <v>0.06</v>
      </c>
    </row>
    <row r="8" spans="2:12" x14ac:dyDescent="0.25">
      <c r="B8" s="53" t="s">
        <v>11</v>
      </c>
      <c r="C8" s="94">
        <f>C6*C7</f>
        <v>1200</v>
      </c>
    </row>
    <row r="10" spans="2:12" x14ac:dyDescent="0.25">
      <c r="C10" s="135" t="s">
        <v>0</v>
      </c>
      <c r="D10" s="135" t="s">
        <v>1</v>
      </c>
      <c r="E10" s="135" t="s">
        <v>2</v>
      </c>
      <c r="F10" s="135" t="s">
        <v>3</v>
      </c>
      <c r="G10" s="135" t="s">
        <v>4</v>
      </c>
      <c r="H10" s="135" t="s">
        <v>5</v>
      </c>
      <c r="I10" s="135" t="s">
        <v>6</v>
      </c>
      <c r="J10" s="135" t="s">
        <v>7</v>
      </c>
      <c r="K10" s="135" t="s">
        <v>8</v>
      </c>
      <c r="L10" s="135" t="s">
        <v>9</v>
      </c>
    </row>
    <row r="11" spans="2:12" x14ac:dyDescent="0.25">
      <c r="B11" s="53" t="s">
        <v>12</v>
      </c>
      <c r="C11" s="165">
        <f>$C$8</f>
        <v>1200</v>
      </c>
      <c r="D11" s="165">
        <f t="shared" ref="D11:L11" si="0">$C$8</f>
        <v>1200</v>
      </c>
      <c r="E11" s="165">
        <f t="shared" si="0"/>
        <v>1200</v>
      </c>
      <c r="F11" s="165">
        <f t="shared" si="0"/>
        <v>1200</v>
      </c>
      <c r="G11" s="165">
        <f t="shared" si="0"/>
        <v>1200</v>
      </c>
      <c r="H11" s="165">
        <f t="shared" si="0"/>
        <v>1200</v>
      </c>
      <c r="I11" s="165">
        <f t="shared" si="0"/>
        <v>1200</v>
      </c>
      <c r="J11" s="165">
        <f t="shared" si="0"/>
        <v>1200</v>
      </c>
      <c r="K11" s="165">
        <f t="shared" si="0"/>
        <v>1200</v>
      </c>
      <c r="L11" s="165">
        <f t="shared" si="0"/>
        <v>1200</v>
      </c>
    </row>
  </sheetData>
  <sheetProtection password="E114" sheet="1" objects="1" scenarios="1" selectLockedCells="1"/>
  <phoneticPr fontId="0" type="noConversion"/>
  <hyperlinks>
    <hyperlink ref="B3" location="'Expense Projection'!A1" display="Expense Projection" xr:uid="{00000000-0004-0000-0400-000000000000}"/>
    <hyperlink ref="B4" location="'Production Assumptions'!A1" display="Production Assumptions" xr:uid="{00000000-0004-0000-0400-000001000000}"/>
  </hyperlink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3"/>
  <sheetViews>
    <sheetView showGridLines="0" showRowColHeaders="0" topLeftCell="A23" workbookViewId="0">
      <selection activeCell="C3" sqref="C3"/>
    </sheetView>
  </sheetViews>
  <sheetFormatPr defaultColWidth="9.109375" defaultRowHeight="14.4" x14ac:dyDescent="0.3"/>
  <cols>
    <col min="1" max="1" width="5.6640625" style="62" customWidth="1"/>
    <col min="2" max="2" width="19.6640625" style="62" customWidth="1"/>
    <col min="3" max="3" width="9.33203125" style="62" customWidth="1"/>
    <col min="4" max="4" width="16.6640625" style="62" customWidth="1"/>
    <col min="5" max="5" width="10.44140625" style="62" customWidth="1"/>
    <col min="6" max="7" width="9.109375" style="62"/>
    <col min="8" max="8" width="11" style="62" customWidth="1"/>
    <col min="9" max="9" width="6.33203125" style="62" customWidth="1"/>
    <col min="10" max="10" width="17.109375" style="62" customWidth="1"/>
    <col min="11" max="11" width="8.88671875" style="62" customWidth="1"/>
    <col min="12" max="12" width="9.109375" style="62"/>
    <col min="13" max="13" width="3.88671875" style="62" customWidth="1"/>
    <col min="14" max="15" width="9.109375" style="62"/>
    <col min="16" max="16" width="7.6640625" style="62" customWidth="1"/>
    <col min="17" max="17" width="10.6640625" style="62" customWidth="1"/>
    <col min="18" max="16384" width="9.109375" style="62"/>
  </cols>
  <sheetData>
    <row r="1" spans="1:21" x14ac:dyDescent="0.3">
      <c r="A1" s="77"/>
      <c r="B1" s="61" t="s">
        <v>112</v>
      </c>
    </row>
    <row r="2" spans="1:21" x14ac:dyDescent="0.3">
      <c r="B2" s="173" t="s">
        <v>231</v>
      </c>
      <c r="G2" s="64"/>
      <c r="H2" s="154" t="s">
        <v>211</v>
      </c>
    </row>
    <row r="3" spans="1:21" x14ac:dyDescent="0.3">
      <c r="B3" s="199" t="s">
        <v>261</v>
      </c>
      <c r="C3" s="59" t="s">
        <v>196</v>
      </c>
      <c r="G3" s="185"/>
      <c r="H3" s="186" t="s">
        <v>239</v>
      </c>
    </row>
    <row r="4" spans="1:21" x14ac:dyDescent="0.3">
      <c r="B4" s="63"/>
      <c r="C4" s="59" t="s">
        <v>193</v>
      </c>
    </row>
    <row r="5" spans="1:21" x14ac:dyDescent="0.3">
      <c r="B5" s="53" t="s">
        <v>262</v>
      </c>
      <c r="C5" s="57"/>
    </row>
    <row r="6" spans="1:21" x14ac:dyDescent="0.3">
      <c r="B6" s="54" t="s">
        <v>214</v>
      </c>
      <c r="C6" s="60">
        <v>6381</v>
      </c>
    </row>
    <row r="7" spans="1:21" x14ac:dyDescent="0.3">
      <c r="B7" s="54" t="s">
        <v>76</v>
      </c>
      <c r="C7" s="60">
        <v>5545</v>
      </c>
    </row>
    <row r="8" spans="1:21" x14ac:dyDescent="0.3">
      <c r="B8" s="54" t="s">
        <v>118</v>
      </c>
      <c r="C8" s="60">
        <v>1773</v>
      </c>
    </row>
    <row r="9" spans="1:21" x14ac:dyDescent="0.3">
      <c r="B9" s="54" t="s">
        <v>215</v>
      </c>
      <c r="C9" s="60">
        <v>5000</v>
      </c>
    </row>
    <row r="10" spans="1:21" x14ac:dyDescent="0.3">
      <c r="B10" s="54" t="s">
        <v>120</v>
      </c>
      <c r="C10" s="60">
        <v>545</v>
      </c>
    </row>
    <row r="11" spans="1:21" x14ac:dyDescent="0.3">
      <c r="B11" s="54" t="s">
        <v>216</v>
      </c>
      <c r="C11" s="60">
        <v>2400</v>
      </c>
    </row>
    <row r="12" spans="1:21" x14ac:dyDescent="0.3">
      <c r="B12" s="53" t="s">
        <v>217</v>
      </c>
      <c r="C12" s="58">
        <f>SUM(C6:C11)</f>
        <v>21644</v>
      </c>
    </row>
    <row r="13" spans="1:21" x14ac:dyDescent="0.3">
      <c r="A13" s="170"/>
      <c r="B13" s="171"/>
      <c r="C13" s="172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</row>
    <row r="14" spans="1:21" x14ac:dyDescent="0.3">
      <c r="B14" s="53"/>
      <c r="C14" s="58"/>
    </row>
    <row r="15" spans="1:21" x14ac:dyDescent="0.3">
      <c r="B15" s="53" t="s">
        <v>230</v>
      </c>
      <c r="C15" s="58"/>
    </row>
    <row r="16" spans="1:21" x14ac:dyDescent="0.3">
      <c r="Q16" s="61" t="s">
        <v>113</v>
      </c>
    </row>
    <row r="17" spans="2:20" x14ac:dyDescent="0.3">
      <c r="B17" s="61" t="s">
        <v>114</v>
      </c>
      <c r="D17" s="62" t="s">
        <v>115</v>
      </c>
      <c r="F17" s="62" t="s">
        <v>116</v>
      </c>
      <c r="O17" s="62" t="s">
        <v>117</v>
      </c>
      <c r="Q17" s="175" t="s">
        <v>118</v>
      </c>
      <c r="R17" s="175" t="s">
        <v>119</v>
      </c>
      <c r="S17" s="175" t="s">
        <v>76</v>
      </c>
      <c r="T17" s="175" t="s">
        <v>120</v>
      </c>
    </row>
    <row r="18" spans="2:20" x14ac:dyDescent="0.3">
      <c r="B18" s="62" t="s">
        <v>121</v>
      </c>
      <c r="C18" s="78">
        <f>33*2*6</f>
        <v>396</v>
      </c>
      <c r="D18" s="79" t="s">
        <v>122</v>
      </c>
      <c r="F18" s="79" t="s">
        <v>123</v>
      </c>
      <c r="G18" s="79"/>
      <c r="H18" s="79"/>
      <c r="I18" s="78">
        <v>1000</v>
      </c>
      <c r="J18" s="62" t="s">
        <v>124</v>
      </c>
      <c r="K18" s="62">
        <f>C18*(2/3)</f>
        <v>264</v>
      </c>
      <c r="L18" s="62" t="s">
        <v>125</v>
      </c>
      <c r="M18" s="62">
        <v>0.4</v>
      </c>
      <c r="N18" s="62" t="s">
        <v>126</v>
      </c>
      <c r="O18" s="65">
        <f>I18*K18/M18</f>
        <v>660000</v>
      </c>
      <c r="P18" s="62" t="s">
        <v>127</v>
      </c>
      <c r="Q18" s="66">
        <f>$C$45/30+(O18/100000)*$E$45</f>
        <v>3.5523333333333333</v>
      </c>
      <c r="R18" s="66">
        <f>O18/1000*0.2930711*$C$46</f>
        <v>12.185896337999999</v>
      </c>
      <c r="S18" s="66">
        <f>(C47+E47/12+C49)/30</f>
        <v>2.1507777777777779</v>
      </c>
      <c r="T18" s="66">
        <f>C51/30</f>
        <v>0.51200000000000001</v>
      </c>
    </row>
    <row r="19" spans="2:20" x14ac:dyDescent="0.3">
      <c r="B19" s="62" t="s">
        <v>128</v>
      </c>
      <c r="C19" s="78">
        <f>3*60*8</f>
        <v>1440</v>
      </c>
      <c r="D19" s="79" t="s">
        <v>129</v>
      </c>
      <c r="F19" s="79" t="s">
        <v>130</v>
      </c>
      <c r="G19" s="79"/>
      <c r="H19" s="79"/>
      <c r="I19" s="78">
        <v>3</v>
      </c>
      <c r="J19" s="62" t="s">
        <v>131</v>
      </c>
      <c r="K19" s="62">
        <v>160</v>
      </c>
      <c r="L19" s="62" t="s">
        <v>124</v>
      </c>
      <c r="M19" s="62">
        <v>0.5</v>
      </c>
      <c r="N19" s="62" t="s">
        <v>126</v>
      </c>
      <c r="O19" s="65">
        <f>C19*I19*K19/M19</f>
        <v>1382400</v>
      </c>
      <c r="P19" s="62" t="s">
        <v>127</v>
      </c>
      <c r="Q19" s="66">
        <f t="shared" ref="Q19:Q20" si="0">9.55/30+(O19/100000)*0.49</f>
        <v>7.0920933333333336</v>
      </c>
      <c r="R19" s="66">
        <f>O19/1000*0.2930711*$C$46</f>
        <v>25.523913784319998</v>
      </c>
      <c r="S19" s="66">
        <f>(C47+E47/12+C49)/30+E24/100*C50</f>
        <v>22.181177777777776</v>
      </c>
      <c r="T19" s="66">
        <f>C51/30+(E24-2993)*C53/100/30+(2993-1496)*C52/100/30</f>
        <v>2.1415868666666666</v>
      </c>
    </row>
    <row r="20" spans="2:20" x14ac:dyDescent="0.3">
      <c r="B20" s="62" t="s">
        <v>132</v>
      </c>
      <c r="C20" s="78">
        <f>3*20*8</f>
        <v>480</v>
      </c>
      <c r="D20" s="79" t="s">
        <v>133</v>
      </c>
      <c r="F20" s="79" t="s">
        <v>134</v>
      </c>
      <c r="G20" s="79"/>
      <c r="H20" s="79"/>
      <c r="I20" s="78">
        <v>0.3</v>
      </c>
      <c r="J20" s="62" t="s">
        <v>135</v>
      </c>
      <c r="K20" s="62">
        <v>1000</v>
      </c>
      <c r="L20" s="62" t="s">
        <v>124</v>
      </c>
      <c r="M20" s="62">
        <v>0.4</v>
      </c>
      <c r="N20" s="62" t="s">
        <v>126</v>
      </c>
      <c r="O20" s="65">
        <f>C20*I20*K20/M20</f>
        <v>360000</v>
      </c>
      <c r="P20" s="62" t="s">
        <v>127</v>
      </c>
      <c r="Q20" s="66">
        <f t="shared" si="0"/>
        <v>2.0823333333333336</v>
      </c>
      <c r="R20" s="66">
        <f>O20/1000*0.2930711*$C$46</f>
        <v>6.646852548</v>
      </c>
      <c r="S20" s="66">
        <f>(C47+E47/12+C49)/30</f>
        <v>2.1507777777777779</v>
      </c>
      <c r="T20" s="66">
        <f>C51/30</f>
        <v>0.51200000000000001</v>
      </c>
    </row>
    <row r="21" spans="2:20" x14ac:dyDescent="0.3">
      <c r="O21" s="65"/>
    </row>
    <row r="22" spans="2:20" x14ac:dyDescent="0.3">
      <c r="B22" s="209" t="s">
        <v>136</v>
      </c>
      <c r="C22" s="209"/>
      <c r="D22" s="209"/>
      <c r="E22" s="62" t="s">
        <v>137</v>
      </c>
      <c r="F22" s="209" t="s">
        <v>138</v>
      </c>
      <c r="G22" s="209"/>
      <c r="H22" s="209"/>
      <c r="I22" s="62" t="s">
        <v>137</v>
      </c>
      <c r="O22" s="65"/>
    </row>
    <row r="23" spans="2:20" x14ac:dyDescent="0.3">
      <c r="B23" s="62" t="s">
        <v>121</v>
      </c>
      <c r="C23" s="78">
        <v>0.25</v>
      </c>
      <c r="D23" s="62" t="s">
        <v>139</v>
      </c>
      <c r="E23" s="65">
        <f>C23*C18*20</f>
        <v>1980</v>
      </c>
      <c r="F23" s="78">
        <v>0.25</v>
      </c>
      <c r="G23" s="62" t="s">
        <v>139</v>
      </c>
      <c r="I23" s="65">
        <f>C18*F23*20</f>
        <v>1980</v>
      </c>
      <c r="O23" s="65"/>
    </row>
    <row r="24" spans="2:20" x14ac:dyDescent="0.3">
      <c r="B24" s="62" t="s">
        <v>140</v>
      </c>
      <c r="C24" s="78">
        <v>0.5</v>
      </c>
      <c r="D24" s="62" t="s">
        <v>141</v>
      </c>
      <c r="E24" s="65">
        <f>C24*C19*20</f>
        <v>14400</v>
      </c>
      <c r="F24" s="78">
        <v>0.5</v>
      </c>
      <c r="G24" s="62" t="s">
        <v>141</v>
      </c>
      <c r="I24" s="65">
        <f t="shared" ref="I24:I25" si="1">C19*F24*20</f>
        <v>14400</v>
      </c>
      <c r="O24" s="65"/>
    </row>
    <row r="25" spans="2:20" x14ac:dyDescent="0.3">
      <c r="B25" s="62" t="s">
        <v>132</v>
      </c>
      <c r="C25" s="78">
        <v>0.2</v>
      </c>
      <c r="D25" s="62" t="s">
        <v>142</v>
      </c>
      <c r="E25" s="65">
        <f>C25*C20*20</f>
        <v>1920</v>
      </c>
      <c r="F25" s="78">
        <v>0.2</v>
      </c>
      <c r="G25" s="62" t="s">
        <v>142</v>
      </c>
      <c r="I25" s="65">
        <f t="shared" si="1"/>
        <v>1920</v>
      </c>
    </row>
    <row r="27" spans="2:20" x14ac:dyDescent="0.3">
      <c r="B27" s="61" t="s">
        <v>143</v>
      </c>
    </row>
    <row r="28" spans="2:20" x14ac:dyDescent="0.3">
      <c r="B28" s="79" t="s">
        <v>144</v>
      </c>
      <c r="C28" s="79"/>
      <c r="D28" s="79"/>
      <c r="E28" s="79"/>
      <c r="F28" s="79"/>
      <c r="G28" s="79"/>
      <c r="H28" s="79"/>
      <c r="I28" s="79"/>
      <c r="J28" s="67" t="s">
        <v>145</v>
      </c>
    </row>
    <row r="29" spans="2:20" x14ac:dyDescent="0.3">
      <c r="B29" s="79" t="s">
        <v>146</v>
      </c>
      <c r="C29" s="79"/>
      <c r="D29" s="79"/>
      <c r="E29" s="79"/>
      <c r="F29" s="79"/>
      <c r="G29" s="79"/>
      <c r="H29" s="79"/>
      <c r="I29" s="79"/>
      <c r="J29" s="176" t="s">
        <v>237</v>
      </c>
      <c r="K29" s="68"/>
      <c r="L29" s="68"/>
      <c r="M29" s="68"/>
      <c r="N29" s="68"/>
      <c r="O29" s="68"/>
      <c r="P29" s="68"/>
      <c r="Q29" s="69"/>
    </row>
    <row r="30" spans="2:20" x14ac:dyDescent="0.3">
      <c r="B30" s="79" t="s">
        <v>147</v>
      </c>
      <c r="C30" s="79"/>
      <c r="D30" s="79"/>
      <c r="E30" s="79"/>
      <c r="F30" s="79"/>
      <c r="G30" s="79"/>
      <c r="H30" s="79"/>
      <c r="I30" s="79"/>
      <c r="J30" s="70" t="s">
        <v>148</v>
      </c>
      <c r="K30" s="65">
        <f>C38</f>
        <v>3600</v>
      </c>
      <c r="L30" s="62" t="s">
        <v>149</v>
      </c>
      <c r="P30" s="210" t="s">
        <v>238</v>
      </c>
      <c r="Q30" s="211"/>
    </row>
    <row r="31" spans="2:20" x14ac:dyDescent="0.3">
      <c r="B31" s="79" t="s">
        <v>150</v>
      </c>
      <c r="C31" s="79"/>
      <c r="D31" s="79"/>
      <c r="E31" s="79"/>
      <c r="F31" s="79"/>
      <c r="G31" s="79"/>
      <c r="H31" s="79"/>
      <c r="I31" s="79"/>
      <c r="J31" s="70"/>
      <c r="K31" s="177" t="s">
        <v>151</v>
      </c>
      <c r="L31" s="177" t="s">
        <v>152</v>
      </c>
      <c r="M31" s="177"/>
      <c r="N31" s="177" t="s">
        <v>153</v>
      </c>
      <c r="O31" s="177" t="s">
        <v>154</v>
      </c>
      <c r="P31" s="177" t="s">
        <v>155</v>
      </c>
      <c r="Q31" s="178" t="s">
        <v>156</v>
      </c>
    </row>
    <row r="32" spans="2:20" x14ac:dyDescent="0.3">
      <c r="B32" s="79" t="s">
        <v>157</v>
      </c>
      <c r="C32" s="79"/>
      <c r="D32" s="79"/>
      <c r="E32" s="79"/>
      <c r="F32" s="79"/>
      <c r="G32" s="79"/>
      <c r="H32" s="79"/>
      <c r="I32" s="79"/>
      <c r="J32" s="70" t="s">
        <v>121</v>
      </c>
      <c r="K32" s="72">
        <f>Q18*$K37</f>
        <v>0</v>
      </c>
      <c r="L32" s="72">
        <f>R18*$K37</f>
        <v>0</v>
      </c>
      <c r="N32" s="72">
        <f>S18*$K37</f>
        <v>0</v>
      </c>
      <c r="O32" s="72">
        <f>T18*$K37</f>
        <v>0</v>
      </c>
      <c r="P32" s="183">
        <f>K32+N32+O32</f>
        <v>0</v>
      </c>
      <c r="Q32" s="184">
        <f>SUM(L32:O32)</f>
        <v>0</v>
      </c>
    </row>
    <row r="33" spans="2:17" x14ac:dyDescent="0.3">
      <c r="B33" s="79" t="s">
        <v>158</v>
      </c>
      <c r="C33" s="79"/>
      <c r="D33" s="79"/>
      <c r="E33" s="79"/>
      <c r="F33" s="79"/>
      <c r="G33" s="79"/>
      <c r="H33" s="79"/>
      <c r="I33" s="79"/>
      <c r="J33" s="70" t="s">
        <v>159</v>
      </c>
      <c r="K33" s="72">
        <f>Q19*$K38</f>
        <v>1773.0233333333333</v>
      </c>
      <c r="L33" s="72">
        <f t="shared" ref="L33" si="2">R19*$K38</f>
        <v>6380.9784460799992</v>
      </c>
      <c r="N33" s="72">
        <f t="shared" ref="N33:O34" si="3">S19*$K38</f>
        <v>5545.2944444444438</v>
      </c>
      <c r="O33" s="72">
        <f>T19*$K38</f>
        <v>535.39671666666663</v>
      </c>
      <c r="P33" s="181">
        <f t="shared" ref="P33:P34" si="4">K33+N33+O33</f>
        <v>7853.7144944444444</v>
      </c>
      <c r="Q33" s="73">
        <f t="shared" ref="Q33:Q34" si="5">SUM(L33:O33)</f>
        <v>12461.66960719111</v>
      </c>
    </row>
    <row r="34" spans="2:17" x14ac:dyDescent="0.3">
      <c r="B34" s="79" t="s">
        <v>160</v>
      </c>
      <c r="C34" s="79"/>
      <c r="D34" s="79"/>
      <c r="E34" s="79"/>
      <c r="F34" s="79"/>
      <c r="G34" s="79"/>
      <c r="H34" s="79"/>
      <c r="I34" s="79"/>
      <c r="J34" s="70" t="s">
        <v>132</v>
      </c>
      <c r="K34" s="72">
        <f t="shared" ref="K34:L34" si="6">Q20*$K39</f>
        <v>0</v>
      </c>
      <c r="L34" s="72">
        <f t="shared" si="6"/>
        <v>0</v>
      </c>
      <c r="N34" s="72">
        <f t="shared" si="3"/>
        <v>0</v>
      </c>
      <c r="O34" s="72">
        <f t="shared" si="3"/>
        <v>0</v>
      </c>
      <c r="P34" s="181">
        <f t="shared" si="4"/>
        <v>0</v>
      </c>
      <c r="Q34" s="73">
        <f t="shared" si="5"/>
        <v>0</v>
      </c>
    </row>
    <row r="35" spans="2:17" x14ac:dyDescent="0.3">
      <c r="B35" s="79" t="s">
        <v>161</v>
      </c>
      <c r="C35" s="79"/>
      <c r="D35" s="79"/>
      <c r="E35" s="79"/>
      <c r="F35" s="79"/>
      <c r="G35" s="79"/>
      <c r="H35" s="79"/>
      <c r="I35" s="79"/>
      <c r="J35" s="74" t="s">
        <v>162</v>
      </c>
      <c r="K35" s="200">
        <f>C40*K30/C38/365*K40</f>
        <v>2042.4657534246578</v>
      </c>
      <c r="L35" s="200">
        <f>C39*K30/C38/365*K40</f>
        <v>3359.5890410958905</v>
      </c>
      <c r="M35" s="179"/>
      <c r="N35" s="179"/>
      <c r="O35" s="179"/>
      <c r="P35" s="182">
        <f>K35+L35</f>
        <v>5402.0547945205481</v>
      </c>
      <c r="Q35" s="180">
        <f>K35+L35</f>
        <v>5402.0547945205481</v>
      </c>
    </row>
    <row r="36" spans="2:17" x14ac:dyDescent="0.3">
      <c r="B36" s="79" t="s">
        <v>163</v>
      </c>
      <c r="C36" s="79"/>
      <c r="D36" s="79"/>
      <c r="E36" s="79"/>
      <c r="F36" s="79"/>
      <c r="G36" s="79"/>
      <c r="H36" s="79"/>
      <c r="I36" s="79"/>
      <c r="J36" s="70" t="s">
        <v>164</v>
      </c>
      <c r="L36" s="72"/>
      <c r="M36" s="72"/>
      <c r="N36" s="72" t="s">
        <v>165</v>
      </c>
      <c r="O36" s="72"/>
      <c r="P36" s="182">
        <f>SUM(P32:P35)</f>
        <v>13255.769288964992</v>
      </c>
      <c r="Q36" s="180">
        <f>SUM(Q32:Q35)</f>
        <v>17863.724401711657</v>
      </c>
    </row>
    <row r="37" spans="2:17" x14ac:dyDescent="0.3">
      <c r="B37" s="79" t="s">
        <v>166</v>
      </c>
      <c r="C37" s="79"/>
      <c r="D37" s="79"/>
      <c r="E37" s="79"/>
      <c r="F37" s="79"/>
      <c r="G37" s="79"/>
      <c r="H37" s="79"/>
      <c r="I37" s="79"/>
      <c r="J37" s="70" t="s">
        <v>121</v>
      </c>
      <c r="K37" s="78"/>
      <c r="L37" s="72"/>
      <c r="Q37" s="71"/>
    </row>
    <row r="38" spans="2:17" x14ac:dyDescent="0.3">
      <c r="B38" s="62" t="s">
        <v>149</v>
      </c>
      <c r="C38" s="174">
        <v>3600</v>
      </c>
      <c r="J38" s="70" t="s">
        <v>128</v>
      </c>
      <c r="K38" s="78">
        <v>250</v>
      </c>
      <c r="Q38" s="71"/>
    </row>
    <row r="39" spans="2:17" x14ac:dyDescent="0.3">
      <c r="B39" s="62" t="s">
        <v>167</v>
      </c>
      <c r="C39" s="81">
        <v>4905</v>
      </c>
      <c r="D39" s="62" t="s">
        <v>168</v>
      </c>
      <c r="J39" s="70" t="s">
        <v>132</v>
      </c>
      <c r="K39" s="78">
        <v>0</v>
      </c>
      <c r="Q39" s="71"/>
    </row>
    <row r="40" spans="2:17" x14ac:dyDescent="0.3">
      <c r="B40" s="62" t="s">
        <v>169</v>
      </c>
      <c r="C40" s="81">
        <v>2982</v>
      </c>
      <c r="D40" s="62" t="s">
        <v>168</v>
      </c>
      <c r="J40" s="74" t="s">
        <v>170</v>
      </c>
      <c r="K40" s="80">
        <v>250</v>
      </c>
      <c r="L40" s="75"/>
      <c r="M40" s="75"/>
      <c r="N40" s="75"/>
      <c r="O40" s="75"/>
      <c r="P40" s="75"/>
      <c r="Q40" s="76"/>
    </row>
    <row r="41" spans="2:17" x14ac:dyDescent="0.3">
      <c r="B41" s="62" t="s">
        <v>33</v>
      </c>
      <c r="C41" s="72">
        <f>SUM(C39:C40)</f>
        <v>7887</v>
      </c>
      <c r="J41" s="62" t="s">
        <v>173</v>
      </c>
    </row>
    <row r="42" spans="2:17" x14ac:dyDescent="0.3">
      <c r="B42" s="62" t="s">
        <v>171</v>
      </c>
      <c r="C42" s="66">
        <f>C41/C38</f>
        <v>2.1908333333333334</v>
      </c>
      <c r="D42" s="62" t="s">
        <v>172</v>
      </c>
    </row>
    <row r="44" spans="2:17" x14ac:dyDescent="0.3">
      <c r="B44" s="62" t="s">
        <v>174</v>
      </c>
    </row>
    <row r="45" spans="2:17" x14ac:dyDescent="0.3">
      <c r="B45" s="62" t="s">
        <v>118</v>
      </c>
      <c r="C45" s="82">
        <v>9.5500000000000007</v>
      </c>
      <c r="D45" s="62" t="s">
        <v>189</v>
      </c>
      <c r="E45" s="83">
        <v>0.49</v>
      </c>
      <c r="F45" s="62" t="s">
        <v>175</v>
      </c>
      <c r="G45" s="62" t="s">
        <v>176</v>
      </c>
      <c r="I45" s="79" t="s">
        <v>177</v>
      </c>
      <c r="J45" s="79"/>
      <c r="K45" s="79"/>
      <c r="L45" s="79"/>
    </row>
    <row r="46" spans="2:17" x14ac:dyDescent="0.3">
      <c r="B46" s="62" t="s">
        <v>119</v>
      </c>
      <c r="C46" s="83">
        <v>6.3E-2</v>
      </c>
      <c r="D46" s="62" t="s">
        <v>178</v>
      </c>
      <c r="I46" s="79" t="s">
        <v>179</v>
      </c>
      <c r="J46" s="79"/>
      <c r="K46" s="79"/>
      <c r="L46" s="79"/>
    </row>
    <row r="47" spans="2:17" x14ac:dyDescent="0.3">
      <c r="B47" s="62" t="s">
        <v>180</v>
      </c>
      <c r="C47" s="82">
        <v>20.6</v>
      </c>
      <c r="D47" s="62" t="s">
        <v>190</v>
      </c>
      <c r="E47" s="82">
        <v>274</v>
      </c>
      <c r="F47" s="62" t="s">
        <v>192</v>
      </c>
      <c r="I47" s="79" t="s">
        <v>181</v>
      </c>
      <c r="J47" s="79" t="s">
        <v>182</v>
      </c>
      <c r="K47" s="79"/>
      <c r="L47" s="79"/>
    </row>
    <row r="48" spans="2:17" x14ac:dyDescent="0.3">
      <c r="C48" s="82">
        <v>1.68</v>
      </c>
      <c r="D48" s="62" t="s">
        <v>191</v>
      </c>
      <c r="E48" s="82">
        <v>1.81</v>
      </c>
      <c r="F48" s="62" t="s">
        <v>183</v>
      </c>
    </row>
    <row r="49" spans="3:4" x14ac:dyDescent="0.3">
      <c r="C49" s="82">
        <v>21.09</v>
      </c>
      <c r="D49" s="62" t="s">
        <v>184</v>
      </c>
    </row>
    <row r="50" spans="3:4" x14ac:dyDescent="0.3">
      <c r="C50" s="83">
        <v>0.1391</v>
      </c>
      <c r="D50" s="62" t="s">
        <v>185</v>
      </c>
    </row>
    <row r="51" spans="3:4" x14ac:dyDescent="0.3">
      <c r="C51" s="82">
        <v>15.36</v>
      </c>
      <c r="D51" s="62" t="s">
        <v>186</v>
      </c>
    </row>
    <row r="52" spans="3:4" x14ac:dyDescent="0.3">
      <c r="C52" s="83">
        <v>0.26269999999999999</v>
      </c>
      <c r="D52" s="62" t="s">
        <v>187</v>
      </c>
    </row>
    <row r="53" spans="3:4" x14ac:dyDescent="0.3">
      <c r="C53" s="83">
        <v>0.39410000000000001</v>
      </c>
      <c r="D53" s="62" t="s">
        <v>188</v>
      </c>
    </row>
  </sheetData>
  <sheetProtection password="E114" sheet="1" objects="1" scenarios="1" selectLockedCells="1"/>
  <mergeCells count="3">
    <mergeCell ref="B22:D22"/>
    <mergeCell ref="F22:H22"/>
    <mergeCell ref="P30:Q30"/>
  </mergeCells>
  <hyperlinks>
    <hyperlink ref="C3" location="'Expense Projection'!A1" display="Expense Projection" xr:uid="{00000000-0004-0000-0500-000000000000}"/>
    <hyperlink ref="C4" location="'Production Assumptions'!A1" display="Production Assumptions" xr:uid="{00000000-0004-0000-0500-000001000000}"/>
  </hyperlink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46"/>
  <sheetViews>
    <sheetView showGridLines="0" showRowColHeaders="0" topLeftCell="A11" workbookViewId="0">
      <selection activeCell="F25" sqref="F25"/>
    </sheetView>
  </sheetViews>
  <sheetFormatPr defaultColWidth="9.109375" defaultRowHeight="13.2" x14ac:dyDescent="0.25"/>
  <cols>
    <col min="1" max="1" width="5.6640625" style="41" customWidth="1"/>
    <col min="2" max="2" width="3.33203125" style="41" customWidth="1"/>
    <col min="3" max="3" width="19.6640625" style="53" customWidth="1"/>
    <col min="4" max="13" width="12.6640625" style="41" customWidth="1"/>
    <col min="14" max="14" width="12.6640625" style="140" customWidth="1"/>
    <col min="15" max="16384" width="9.109375" style="41"/>
  </cols>
  <sheetData>
    <row r="1" spans="2:15" x14ac:dyDescent="0.25">
      <c r="B1" s="53" t="s">
        <v>201</v>
      </c>
    </row>
    <row r="2" spans="2:15" x14ac:dyDescent="0.25">
      <c r="B2" s="50" t="s">
        <v>199</v>
      </c>
    </row>
    <row r="3" spans="2:15" x14ac:dyDescent="0.25">
      <c r="B3" s="212" t="s">
        <v>193</v>
      </c>
      <c r="C3" s="212"/>
    </row>
    <row r="4" spans="2:15" x14ac:dyDescent="0.25">
      <c r="B4" s="212" t="s">
        <v>194</v>
      </c>
      <c r="C4" s="212"/>
    </row>
    <row r="5" spans="2:15" x14ac:dyDescent="0.25">
      <c r="B5" s="212" t="s">
        <v>195</v>
      </c>
      <c r="C5" s="212"/>
    </row>
    <row r="6" spans="2:15" x14ac:dyDescent="0.25">
      <c r="B6" s="212" t="s">
        <v>197</v>
      </c>
      <c r="C6" s="212"/>
    </row>
    <row r="7" spans="2:15" x14ac:dyDescent="0.25">
      <c r="B7" s="212" t="s">
        <v>198</v>
      </c>
      <c r="C7" s="212"/>
    </row>
    <row r="8" spans="2:15" x14ac:dyDescent="0.25">
      <c r="B8" s="53"/>
    </row>
    <row r="9" spans="2:15" x14ac:dyDescent="0.25">
      <c r="B9" s="53" t="s">
        <v>263</v>
      </c>
      <c r="E9" s="145">
        <v>0.01</v>
      </c>
      <c r="F9" s="54" t="s">
        <v>264</v>
      </c>
    </row>
    <row r="10" spans="2:15" x14ac:dyDescent="0.25">
      <c r="B10" s="53"/>
    </row>
    <row r="11" spans="2:15" x14ac:dyDescent="0.25">
      <c r="B11" s="135" t="s">
        <v>13</v>
      </c>
      <c r="D11" s="135" t="s">
        <v>210</v>
      </c>
      <c r="E11" s="135" t="s">
        <v>0</v>
      </c>
      <c r="F11" s="135" t="s">
        <v>1</v>
      </c>
      <c r="G11" s="135" t="s">
        <v>2</v>
      </c>
      <c r="H11" s="135" t="s">
        <v>3</v>
      </c>
      <c r="I11" s="135" t="s">
        <v>4</v>
      </c>
      <c r="J11" s="135" t="s">
        <v>5</v>
      </c>
      <c r="K11" s="135" t="s">
        <v>6</v>
      </c>
      <c r="L11" s="135" t="s">
        <v>7</v>
      </c>
      <c r="M11" s="135" t="s">
        <v>8</v>
      </c>
      <c r="N11" s="135" t="s">
        <v>9</v>
      </c>
    </row>
    <row r="12" spans="2:15" x14ac:dyDescent="0.25">
      <c r="B12" s="53" t="s">
        <v>18</v>
      </c>
      <c r="D12" s="137"/>
      <c r="E12" s="137">
        <f>'Personnel Expenses'!F30</f>
        <v>205000</v>
      </c>
      <c r="F12" s="137">
        <f>E12*(1+$E$9)</f>
        <v>207050</v>
      </c>
      <c r="G12" s="137">
        <f t="shared" ref="G12:N12" si="0">F12*(1+$E$9)</f>
        <v>209120.5</v>
      </c>
      <c r="H12" s="137">
        <f t="shared" si="0"/>
        <v>211211.70500000002</v>
      </c>
      <c r="I12" s="137">
        <f t="shared" si="0"/>
        <v>213323.82205000002</v>
      </c>
      <c r="J12" s="137">
        <f t="shared" si="0"/>
        <v>215457.06027050002</v>
      </c>
      <c r="K12" s="137">
        <f t="shared" si="0"/>
        <v>217611.63087320502</v>
      </c>
      <c r="L12" s="137">
        <f t="shared" si="0"/>
        <v>219787.74718193707</v>
      </c>
      <c r="M12" s="137">
        <f t="shared" si="0"/>
        <v>221985.62465375644</v>
      </c>
      <c r="N12" s="137">
        <f t="shared" si="0"/>
        <v>224205.480900294</v>
      </c>
      <c r="O12" s="97"/>
    </row>
    <row r="13" spans="2:15" x14ac:dyDescent="0.25">
      <c r="B13" s="53" t="s">
        <v>17</v>
      </c>
      <c r="D13" s="137"/>
      <c r="E13" s="137">
        <f>'Personnel Expenses'!G30</f>
        <v>41000</v>
      </c>
      <c r="F13" s="137">
        <f>E13*(1+$E$9)</f>
        <v>41410</v>
      </c>
      <c r="G13" s="137">
        <f t="shared" ref="G13:N13" si="1">F13*(1+$E$9)</f>
        <v>41824.1</v>
      </c>
      <c r="H13" s="137">
        <f t="shared" si="1"/>
        <v>42242.341</v>
      </c>
      <c r="I13" s="137">
        <f t="shared" si="1"/>
        <v>42664.764410000003</v>
      </c>
      <c r="J13" s="137">
        <f t="shared" si="1"/>
        <v>43091.412054100001</v>
      </c>
      <c r="K13" s="137">
        <f t="shared" si="1"/>
        <v>43522.326174640999</v>
      </c>
      <c r="L13" s="137">
        <f t="shared" si="1"/>
        <v>43957.54943638741</v>
      </c>
      <c r="M13" s="137">
        <f t="shared" si="1"/>
        <v>44397.124930751284</v>
      </c>
      <c r="N13" s="137">
        <f t="shared" si="1"/>
        <v>44841.096180058797</v>
      </c>
      <c r="O13" s="97"/>
    </row>
    <row r="14" spans="2:15" x14ac:dyDescent="0.25">
      <c r="B14" s="53" t="s">
        <v>16</v>
      </c>
      <c r="D14" s="137"/>
      <c r="E14" s="137">
        <f>'Personnel Expenses'!I30</f>
        <v>0</v>
      </c>
      <c r="F14" s="137">
        <f>E14*(1+$E$9)</f>
        <v>0</v>
      </c>
      <c r="G14" s="137">
        <f t="shared" ref="G14:N14" si="2">F14*(1+$E$9)</f>
        <v>0</v>
      </c>
      <c r="H14" s="137">
        <f t="shared" si="2"/>
        <v>0</v>
      </c>
      <c r="I14" s="137">
        <f t="shared" si="2"/>
        <v>0</v>
      </c>
      <c r="J14" s="137">
        <f t="shared" si="2"/>
        <v>0</v>
      </c>
      <c r="K14" s="137">
        <f t="shared" si="2"/>
        <v>0</v>
      </c>
      <c r="L14" s="137">
        <f t="shared" si="2"/>
        <v>0</v>
      </c>
      <c r="M14" s="137">
        <f t="shared" si="2"/>
        <v>0</v>
      </c>
      <c r="N14" s="137">
        <f t="shared" si="2"/>
        <v>0</v>
      </c>
      <c r="O14" s="97"/>
    </row>
    <row r="15" spans="2:15" x14ac:dyDescent="0.25">
      <c r="B15" s="53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97"/>
    </row>
    <row r="16" spans="2:15" x14ac:dyDescent="0.25">
      <c r="B16" s="53" t="s">
        <v>22</v>
      </c>
      <c r="D16" s="166">
        <f t="shared" ref="D16:N16" si="3">SUM(D12,D13,D14)</f>
        <v>0</v>
      </c>
      <c r="E16" s="166">
        <f t="shared" si="3"/>
        <v>246000</v>
      </c>
      <c r="F16" s="166">
        <f t="shared" si="3"/>
        <v>248460</v>
      </c>
      <c r="G16" s="166">
        <f t="shared" si="3"/>
        <v>250944.6</v>
      </c>
      <c r="H16" s="166">
        <f t="shared" si="3"/>
        <v>253454.04600000003</v>
      </c>
      <c r="I16" s="166">
        <f t="shared" si="3"/>
        <v>255988.58646000002</v>
      </c>
      <c r="J16" s="166">
        <f t="shared" si="3"/>
        <v>258548.47232460004</v>
      </c>
      <c r="K16" s="166">
        <f t="shared" si="3"/>
        <v>261133.95704784602</v>
      </c>
      <c r="L16" s="166">
        <f t="shared" si="3"/>
        <v>263745.29661832447</v>
      </c>
      <c r="M16" s="166">
        <f t="shared" si="3"/>
        <v>266382.74958450772</v>
      </c>
      <c r="N16" s="166">
        <f t="shared" si="3"/>
        <v>269046.57708035281</v>
      </c>
      <c r="O16" s="97"/>
    </row>
    <row r="17" spans="2:15" x14ac:dyDescent="0.25">
      <c r="B17" s="53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97"/>
    </row>
    <row r="18" spans="2:15" x14ac:dyDescent="0.25">
      <c r="B18" s="53" t="s">
        <v>48</v>
      </c>
      <c r="D18" s="137"/>
      <c r="E18" s="137">
        <f>+'Market Projection'!D41</f>
        <v>267500</v>
      </c>
      <c r="F18" s="137">
        <f>+'Market Projection'!E41</f>
        <v>270175</v>
      </c>
      <c r="G18" s="137">
        <f>+'Market Projection'!F41</f>
        <v>272876.75</v>
      </c>
      <c r="H18" s="137">
        <f>+'Market Projection'!G41</f>
        <v>275605.51750000002</v>
      </c>
      <c r="I18" s="137">
        <f>+'Market Projection'!H41</f>
        <v>278361.57267500006</v>
      </c>
      <c r="J18" s="137">
        <f>+'Market Projection'!I41</f>
        <v>281145.18840175006</v>
      </c>
      <c r="K18" s="137">
        <f>+'Market Projection'!J41</f>
        <v>283956.6402857675</v>
      </c>
      <c r="L18" s="137">
        <f>+'Market Projection'!K41</f>
        <v>286796.20668862516</v>
      </c>
      <c r="M18" s="137">
        <f>+'Market Projection'!L41</f>
        <v>289664.1687555114</v>
      </c>
      <c r="N18" s="137">
        <f>+'Market Projection'!M41</f>
        <v>292560.81044306653</v>
      </c>
      <c r="O18" s="97"/>
    </row>
    <row r="19" spans="2:15" x14ac:dyDescent="0.25">
      <c r="B19" s="53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97"/>
    </row>
    <row r="20" spans="2:15" x14ac:dyDescent="0.25">
      <c r="B20" s="53" t="s">
        <v>24</v>
      </c>
      <c r="D20" s="137"/>
      <c r="E20" s="137">
        <f>+'Utilities Estimates'!C12</f>
        <v>21644</v>
      </c>
      <c r="F20" s="137">
        <f>E20*(1+'Expense Projection'!$E$9)</f>
        <v>21860.44</v>
      </c>
      <c r="G20" s="137">
        <f>F20*(1+'Expense Projection'!$E$9)</f>
        <v>22079.044399999999</v>
      </c>
      <c r="H20" s="137">
        <f>G20*(1+'Expense Projection'!$E$9)</f>
        <v>22299.834843999997</v>
      </c>
      <c r="I20" s="137">
        <f>H20*(1+'Expense Projection'!$E$9)</f>
        <v>22522.833192439997</v>
      </c>
      <c r="J20" s="137">
        <f>I20*(1+'Expense Projection'!$E$9)</f>
        <v>22748.061524364399</v>
      </c>
      <c r="K20" s="137">
        <f>J20*(1+'Expense Projection'!$E$9)</f>
        <v>22975.542139608042</v>
      </c>
      <c r="L20" s="137">
        <f>K20*(1+'Expense Projection'!$E$9)</f>
        <v>23205.297561004121</v>
      </c>
      <c r="M20" s="137">
        <f>L20*(1+'Expense Projection'!$E$9)</f>
        <v>23437.350536614162</v>
      </c>
      <c r="N20" s="137">
        <f>M20*(1+'Expense Projection'!$E$9)</f>
        <v>23671.724041980302</v>
      </c>
      <c r="O20" s="97"/>
    </row>
    <row r="21" spans="2:15" x14ac:dyDescent="0.25">
      <c r="C21" s="59" t="s">
        <v>224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97"/>
    </row>
    <row r="22" spans="2:15" x14ac:dyDescent="0.25">
      <c r="B22" s="53" t="s">
        <v>25</v>
      </c>
      <c r="D22" s="166">
        <f>SUM(D16:D20)</f>
        <v>0</v>
      </c>
      <c r="E22" s="166">
        <f>SUM(E16:E20)</f>
        <v>535144</v>
      </c>
      <c r="F22" s="166">
        <f t="shared" ref="F22:N22" si="4">SUM(F16:F20)</f>
        <v>540495.43999999994</v>
      </c>
      <c r="G22" s="166">
        <f t="shared" si="4"/>
        <v>545900.39439999999</v>
      </c>
      <c r="H22" s="166">
        <f t="shared" si="4"/>
        <v>551359.3983440001</v>
      </c>
      <c r="I22" s="166">
        <f t="shared" si="4"/>
        <v>556872.99232744006</v>
      </c>
      <c r="J22" s="166">
        <f t="shared" si="4"/>
        <v>562441.72225071443</v>
      </c>
      <c r="K22" s="166">
        <f t="shared" si="4"/>
        <v>568066.13947322161</v>
      </c>
      <c r="L22" s="166">
        <f t="shared" si="4"/>
        <v>573746.8008679538</v>
      </c>
      <c r="M22" s="166">
        <f t="shared" si="4"/>
        <v>579484.26887663337</v>
      </c>
      <c r="N22" s="166">
        <f t="shared" si="4"/>
        <v>585279.11156539968</v>
      </c>
      <c r="O22" s="97"/>
    </row>
    <row r="23" spans="2:15" x14ac:dyDescent="0.25">
      <c r="B23" s="53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97"/>
    </row>
    <row r="24" spans="2:15" x14ac:dyDescent="0.25">
      <c r="B24" s="135" t="s">
        <v>26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97"/>
    </row>
    <row r="25" spans="2:15" x14ac:dyDescent="0.25">
      <c r="B25" s="53" t="s">
        <v>235</v>
      </c>
      <c r="D25" s="137"/>
      <c r="E25" s="167">
        <v>24000</v>
      </c>
      <c r="F25" s="167">
        <v>24000</v>
      </c>
      <c r="G25" s="167">
        <v>24000</v>
      </c>
      <c r="H25" s="167">
        <v>24000</v>
      </c>
      <c r="I25" s="167">
        <v>24000</v>
      </c>
      <c r="J25" s="167">
        <v>24000</v>
      </c>
      <c r="K25" s="167">
        <v>24000</v>
      </c>
      <c r="L25" s="167">
        <v>24000</v>
      </c>
      <c r="M25" s="167">
        <v>24000</v>
      </c>
      <c r="N25" s="167">
        <v>24000</v>
      </c>
      <c r="O25" s="97"/>
    </row>
    <row r="26" spans="2:15" x14ac:dyDescent="0.25">
      <c r="B26" s="53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97"/>
    </row>
    <row r="27" spans="2:15" x14ac:dyDescent="0.25">
      <c r="B27" s="53" t="s">
        <v>27</v>
      </c>
      <c r="D27" s="137"/>
      <c r="E27" s="167">
        <v>5000</v>
      </c>
      <c r="F27" s="137">
        <f>E27*(1+'Expense Projection'!$E$9)</f>
        <v>5050</v>
      </c>
      <c r="G27" s="137">
        <f>F27*(1+'Expense Projection'!$E$9)</f>
        <v>5100.5</v>
      </c>
      <c r="H27" s="137">
        <f>G27*(1+'Expense Projection'!$E$9)</f>
        <v>5151.5050000000001</v>
      </c>
      <c r="I27" s="137">
        <f>H27*(1+'Expense Projection'!$E$9)</f>
        <v>5203.0200500000001</v>
      </c>
      <c r="J27" s="137">
        <f>I27*(1+'Expense Projection'!$E$9)</f>
        <v>5255.0502505000004</v>
      </c>
      <c r="K27" s="137">
        <f>J27*(1+'Expense Projection'!$E$9)</f>
        <v>5307.6007530050001</v>
      </c>
      <c r="L27" s="137">
        <f>K27*(1+'Expense Projection'!$E$9)</f>
        <v>5360.6767605350506</v>
      </c>
      <c r="M27" s="137">
        <f>L27*(1+'Expense Projection'!$E$9)</f>
        <v>5414.2835281404014</v>
      </c>
      <c r="N27" s="137">
        <f>M27*(1+'Expense Projection'!$E$9)</f>
        <v>5468.426363421805</v>
      </c>
      <c r="O27" s="97"/>
    </row>
    <row r="28" spans="2:15" x14ac:dyDescent="0.25">
      <c r="B28" s="53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97"/>
    </row>
    <row r="29" spans="2:15" x14ac:dyDescent="0.25">
      <c r="B29" s="53" t="s">
        <v>226</v>
      </c>
      <c r="D29" s="137"/>
      <c r="E29" s="167">
        <v>5000</v>
      </c>
      <c r="F29" s="137">
        <f>E29*(1+'Expense Projection'!$E$9)</f>
        <v>5050</v>
      </c>
      <c r="G29" s="137">
        <f>F29*(1+'Expense Projection'!$E$9)</f>
        <v>5100.5</v>
      </c>
      <c r="H29" s="137">
        <f>G29*(1+'Expense Projection'!$E$9)</f>
        <v>5151.5050000000001</v>
      </c>
      <c r="I29" s="137">
        <f>H29*(1+'Expense Projection'!$E$9)</f>
        <v>5203.0200500000001</v>
      </c>
      <c r="J29" s="137">
        <f>I29*(1+'Expense Projection'!$E$9)</f>
        <v>5255.0502505000004</v>
      </c>
      <c r="K29" s="137">
        <f>J29*(1+'Expense Projection'!$E$9)</f>
        <v>5307.6007530050001</v>
      </c>
      <c r="L29" s="137">
        <f>K29*(1+'Expense Projection'!$E$9)</f>
        <v>5360.6767605350506</v>
      </c>
      <c r="M29" s="137">
        <f>L29*(1+'Expense Projection'!$E$9)</f>
        <v>5414.2835281404014</v>
      </c>
      <c r="N29" s="137">
        <f>M29*(1+'Expense Projection'!$E$9)</f>
        <v>5468.426363421805</v>
      </c>
      <c r="O29" s="97"/>
    </row>
    <row r="30" spans="2:15" x14ac:dyDescent="0.25">
      <c r="B30" s="53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97"/>
    </row>
    <row r="31" spans="2:15" x14ac:dyDescent="0.25">
      <c r="B31" s="53" t="s">
        <v>227</v>
      </c>
      <c r="D31" s="137"/>
      <c r="E31" s="137">
        <f>+'Operating Loan'!C11</f>
        <v>1200</v>
      </c>
      <c r="F31" s="137">
        <f>+'Operating Loan'!D11</f>
        <v>1200</v>
      </c>
      <c r="G31" s="137">
        <f>+'Operating Loan'!E11</f>
        <v>1200</v>
      </c>
      <c r="H31" s="137">
        <f>+'Operating Loan'!F11</f>
        <v>1200</v>
      </c>
      <c r="I31" s="137">
        <f>+'Operating Loan'!G11</f>
        <v>1200</v>
      </c>
      <c r="J31" s="137">
        <f>+'Operating Loan'!H11</f>
        <v>1200</v>
      </c>
      <c r="K31" s="137">
        <f>+'Operating Loan'!I11</f>
        <v>1200</v>
      </c>
      <c r="L31" s="137">
        <f>+'Operating Loan'!J11</f>
        <v>1200</v>
      </c>
      <c r="M31" s="137">
        <f>+'Operating Loan'!K11</f>
        <v>1200</v>
      </c>
      <c r="N31" s="137">
        <f>+'Operating Loan'!L11</f>
        <v>1200</v>
      </c>
      <c r="O31" s="97"/>
    </row>
    <row r="32" spans="2:15" x14ac:dyDescent="0.25">
      <c r="C32" s="59" t="s">
        <v>266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97"/>
    </row>
    <row r="33" spans="2:15" x14ac:dyDescent="0.25">
      <c r="B33" s="53" t="s">
        <v>31</v>
      </c>
      <c r="D33" s="166">
        <f t="shared" ref="D33:N33" si="5">SUM(D25:D31)</f>
        <v>0</v>
      </c>
      <c r="E33" s="166">
        <f t="shared" si="5"/>
        <v>35200</v>
      </c>
      <c r="F33" s="166">
        <f t="shared" si="5"/>
        <v>35300</v>
      </c>
      <c r="G33" s="166">
        <f t="shared" si="5"/>
        <v>35401</v>
      </c>
      <c r="H33" s="166">
        <f t="shared" si="5"/>
        <v>35503.01</v>
      </c>
      <c r="I33" s="166">
        <f t="shared" si="5"/>
        <v>35606.040099999998</v>
      </c>
      <c r="J33" s="166">
        <f t="shared" si="5"/>
        <v>35710.100501000001</v>
      </c>
      <c r="K33" s="166">
        <f t="shared" si="5"/>
        <v>35815.201506010002</v>
      </c>
      <c r="L33" s="166">
        <f t="shared" si="5"/>
        <v>35921.353521070101</v>
      </c>
      <c r="M33" s="166">
        <f t="shared" si="5"/>
        <v>36028.567056280801</v>
      </c>
      <c r="N33" s="166">
        <f t="shared" si="5"/>
        <v>36136.852726843608</v>
      </c>
      <c r="O33" s="97"/>
    </row>
    <row r="34" spans="2:15" x14ac:dyDescent="0.25">
      <c r="B34" s="53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97"/>
    </row>
    <row r="35" spans="2:15" x14ac:dyDescent="0.25">
      <c r="B35" s="135" t="s">
        <v>29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97"/>
    </row>
    <row r="36" spans="2:15" x14ac:dyDescent="0.25">
      <c r="B36" s="53" t="s">
        <v>28</v>
      </c>
      <c r="D36" s="167">
        <v>1000</v>
      </c>
      <c r="E36" s="167">
        <v>2500</v>
      </c>
      <c r="F36" s="168">
        <f>+E36*(1+'Expense Projection'!$E$9)</f>
        <v>2525</v>
      </c>
      <c r="G36" s="168">
        <f>+F36*(1+'Expense Projection'!$E$9)</f>
        <v>2550.25</v>
      </c>
      <c r="H36" s="168">
        <f>+G36*(1+'Expense Projection'!$E$9)</f>
        <v>2575.7525000000001</v>
      </c>
      <c r="I36" s="168">
        <f>+H36*(1+'Expense Projection'!$E$9)</f>
        <v>2601.510025</v>
      </c>
      <c r="J36" s="168">
        <f>+I36*(1+'Expense Projection'!$E$9)</f>
        <v>2627.5251252500002</v>
      </c>
      <c r="K36" s="168">
        <f>+J36*(1+'Expense Projection'!$E$9)</f>
        <v>2653.8003765025001</v>
      </c>
      <c r="L36" s="168">
        <f>+K36*(1+'Expense Projection'!$E$9)</f>
        <v>2680.3383802675253</v>
      </c>
      <c r="M36" s="168">
        <f>+L36*(1+'Expense Projection'!$E$9)</f>
        <v>2707.1417640702007</v>
      </c>
      <c r="N36" s="168">
        <f>+M36*(1+'Expense Projection'!$E$9)</f>
        <v>2734.2131817109025</v>
      </c>
      <c r="O36" s="97"/>
    </row>
    <row r="37" spans="2:15" x14ac:dyDescent="0.25">
      <c r="B37" s="53"/>
      <c r="D37" s="169"/>
      <c r="E37" s="169"/>
      <c r="F37" s="168"/>
      <c r="G37" s="168"/>
      <c r="H37" s="168"/>
      <c r="I37" s="168"/>
      <c r="J37" s="168"/>
      <c r="K37" s="168"/>
      <c r="L37" s="168"/>
      <c r="M37" s="168"/>
      <c r="N37" s="168"/>
      <c r="O37" s="97"/>
    </row>
    <row r="38" spans="2:15" x14ac:dyDescent="0.25">
      <c r="B38" s="53" t="s">
        <v>225</v>
      </c>
      <c r="D38" s="169"/>
      <c r="E38" s="167">
        <v>0</v>
      </c>
      <c r="F38" s="168">
        <f>E38*(1+$E$9)</f>
        <v>0</v>
      </c>
      <c r="G38" s="168">
        <f t="shared" ref="G38:N38" si="6">F38*(1+$E$9)</f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  <c r="M38" s="168">
        <f t="shared" si="6"/>
        <v>0</v>
      </c>
      <c r="N38" s="168">
        <f t="shared" si="6"/>
        <v>0</v>
      </c>
      <c r="O38" s="97"/>
    </row>
    <row r="39" spans="2:15" ht="11.25" customHeight="1" x14ac:dyDescent="0.25">
      <c r="B39" s="53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97"/>
    </row>
    <row r="40" spans="2:15" x14ac:dyDescent="0.25">
      <c r="B40" s="53" t="s">
        <v>64</v>
      </c>
      <c r="D40" s="167">
        <v>7500</v>
      </c>
      <c r="E40" s="167">
        <v>20000</v>
      </c>
      <c r="F40" s="168">
        <f>+E40*(1+'Expense Projection'!$E$9)</f>
        <v>20200</v>
      </c>
      <c r="G40" s="168">
        <f>+F40*(1+'Expense Projection'!$E$9)</f>
        <v>20402</v>
      </c>
      <c r="H40" s="168">
        <f>+G40*(1+'Expense Projection'!$E$9)</f>
        <v>20606.02</v>
      </c>
      <c r="I40" s="168">
        <f>+H40*(1+'Expense Projection'!$E$9)</f>
        <v>20812.0802</v>
      </c>
      <c r="J40" s="168">
        <f>+I40*(1+'Expense Projection'!$E$9)</f>
        <v>21020.201002000002</v>
      </c>
      <c r="K40" s="168">
        <f>+J40*(1+'Expense Projection'!$E$9)</f>
        <v>21230.40301202</v>
      </c>
      <c r="L40" s="168">
        <f>+K40*(1+'Expense Projection'!$E$9)</f>
        <v>21442.707042140202</v>
      </c>
      <c r="M40" s="168">
        <f>+L40*(1+'Expense Projection'!$E$9)</f>
        <v>21657.134112561605</v>
      </c>
      <c r="N40" s="168">
        <f>+M40*(1+'Expense Projection'!$E$9)</f>
        <v>21873.70545368722</v>
      </c>
      <c r="O40" s="97"/>
    </row>
    <row r="41" spans="2:15" x14ac:dyDescent="0.25">
      <c r="B41" s="53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97"/>
    </row>
    <row r="42" spans="2:15" x14ac:dyDescent="0.25">
      <c r="B42" s="53" t="s">
        <v>30</v>
      </c>
      <c r="D42" s="166">
        <f t="shared" ref="D42:N42" si="7">SUM(D36,D40)</f>
        <v>8500</v>
      </c>
      <c r="E42" s="166">
        <f t="shared" si="7"/>
        <v>22500</v>
      </c>
      <c r="F42" s="166">
        <f t="shared" si="7"/>
        <v>22725</v>
      </c>
      <c r="G42" s="166">
        <f t="shared" si="7"/>
        <v>22952.25</v>
      </c>
      <c r="H42" s="166">
        <f t="shared" si="7"/>
        <v>23181.772499999999</v>
      </c>
      <c r="I42" s="166">
        <f t="shared" si="7"/>
        <v>23413.590225</v>
      </c>
      <c r="J42" s="166">
        <f t="shared" si="7"/>
        <v>23647.726127250004</v>
      </c>
      <c r="K42" s="166">
        <f t="shared" si="7"/>
        <v>23884.203388522499</v>
      </c>
      <c r="L42" s="166">
        <f t="shared" si="7"/>
        <v>24123.045422407726</v>
      </c>
      <c r="M42" s="166">
        <f t="shared" si="7"/>
        <v>24364.275876631807</v>
      </c>
      <c r="N42" s="166">
        <f t="shared" si="7"/>
        <v>24607.918635398124</v>
      </c>
      <c r="O42" s="97"/>
    </row>
    <row r="43" spans="2:15" x14ac:dyDescent="0.25">
      <c r="B43" s="53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97"/>
    </row>
    <row r="44" spans="2:15" x14ac:dyDescent="0.25">
      <c r="B44" s="53" t="s">
        <v>32</v>
      </c>
      <c r="D44" s="166">
        <f t="shared" ref="D44:N44" si="8">SUM(D22,D33,D42)</f>
        <v>8500</v>
      </c>
      <c r="E44" s="166">
        <f t="shared" si="8"/>
        <v>592844</v>
      </c>
      <c r="F44" s="166">
        <f t="shared" si="8"/>
        <v>598520.43999999994</v>
      </c>
      <c r="G44" s="166">
        <f t="shared" si="8"/>
        <v>604253.64439999999</v>
      </c>
      <c r="H44" s="166">
        <f t="shared" si="8"/>
        <v>610044.18084400008</v>
      </c>
      <c r="I44" s="166">
        <f t="shared" si="8"/>
        <v>615892.6226524401</v>
      </c>
      <c r="J44" s="166">
        <f t="shared" si="8"/>
        <v>621799.54887896439</v>
      </c>
      <c r="K44" s="166">
        <f t="shared" si="8"/>
        <v>627765.54436775413</v>
      </c>
      <c r="L44" s="166">
        <f t="shared" si="8"/>
        <v>633791.19981143158</v>
      </c>
      <c r="M44" s="166">
        <f t="shared" si="8"/>
        <v>639877.11180954601</v>
      </c>
      <c r="N44" s="166">
        <f t="shared" si="8"/>
        <v>646023.88292764139</v>
      </c>
      <c r="O44" s="97"/>
    </row>
    <row r="45" spans="2:15" x14ac:dyDescent="0.25">
      <c r="B45" s="53"/>
    </row>
    <row r="46" spans="2:15" x14ac:dyDescent="0.25">
      <c r="B46" s="144" t="s">
        <v>260</v>
      </c>
    </row>
  </sheetData>
  <sheetProtection password="E114" sheet="1" objects="1" scenarios="1" selectLockedCells="1"/>
  <mergeCells count="5">
    <mergeCell ref="B3:C3"/>
    <mergeCell ref="B4:C4"/>
    <mergeCell ref="B5:C5"/>
    <mergeCell ref="B6:C6"/>
    <mergeCell ref="B7:C7"/>
  </mergeCells>
  <phoneticPr fontId="0" type="noConversion"/>
  <hyperlinks>
    <hyperlink ref="B3" location="'Production Assumptions'!A1" display="Production Assumptions" xr:uid="{00000000-0004-0000-0600-000000000000}"/>
    <hyperlink ref="B4" location="'Personnel Expenses'!A1" display="Personnel Expenses" xr:uid="{00000000-0004-0000-0600-000001000000}"/>
    <hyperlink ref="B5" location="'Market Projection'!A1" display="Market Projection" xr:uid="{00000000-0004-0000-0600-000002000000}"/>
    <hyperlink ref="B6" location="'Profit &amp; Loss'!A1" display="Profit/Loss Summary" xr:uid="{00000000-0004-0000-0600-000003000000}"/>
    <hyperlink ref="B7" location="'Return On Investment'!A1" display="Return on Investment" xr:uid="{00000000-0004-0000-0600-000004000000}"/>
    <hyperlink ref="C32" location="'Operating Loan'!A1" display="(set operating loan terms)" xr:uid="{00000000-0004-0000-0600-000005000000}"/>
    <hyperlink ref="C21" location="'Utilities Estimates'!A1" display="(create estimates here)" xr:uid="{00000000-0004-0000-0600-000006000000}"/>
  </hyperlink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28"/>
  <sheetViews>
    <sheetView showGridLines="0" showRowColHeaders="0" workbookViewId="0">
      <selection activeCell="B3" sqref="B3"/>
    </sheetView>
  </sheetViews>
  <sheetFormatPr defaultColWidth="9.109375" defaultRowHeight="13.2" x14ac:dyDescent="0.25"/>
  <cols>
    <col min="1" max="1" width="5.6640625" style="41" customWidth="1"/>
    <col min="2" max="2" width="19.109375" style="41" bestFit="1" customWidth="1"/>
    <col min="3" max="13" width="12.6640625" style="41" customWidth="1"/>
    <col min="14" max="16384" width="9.109375" style="41"/>
  </cols>
  <sheetData>
    <row r="1" spans="2:14" x14ac:dyDescent="0.25">
      <c r="B1" s="53" t="s">
        <v>202</v>
      </c>
    </row>
    <row r="2" spans="2:14" x14ac:dyDescent="0.25">
      <c r="B2" s="50" t="s">
        <v>199</v>
      </c>
    </row>
    <row r="3" spans="2:14" x14ac:dyDescent="0.25">
      <c r="B3" s="59" t="s">
        <v>193</v>
      </c>
    </row>
    <row r="4" spans="2:14" x14ac:dyDescent="0.25">
      <c r="B4" s="59" t="s">
        <v>194</v>
      </c>
    </row>
    <row r="5" spans="2:14" x14ac:dyDescent="0.25">
      <c r="B5" s="59" t="s">
        <v>195</v>
      </c>
    </row>
    <row r="6" spans="2:14" x14ac:dyDescent="0.25">
      <c r="B6" s="59" t="s">
        <v>196</v>
      </c>
    </row>
    <row r="7" spans="2:14" x14ac:dyDescent="0.25">
      <c r="B7" s="59" t="s">
        <v>198</v>
      </c>
    </row>
    <row r="8" spans="2:14" x14ac:dyDescent="0.25">
      <c r="B8" s="213"/>
      <c r="C8" s="213"/>
      <c r="D8" s="213"/>
    </row>
    <row r="9" spans="2:14" x14ac:dyDescent="0.25">
      <c r="B9" s="53" t="s">
        <v>45</v>
      </c>
      <c r="C9" s="145">
        <v>0.3</v>
      </c>
    </row>
    <row r="11" spans="2:14" x14ac:dyDescent="0.25">
      <c r="B11" s="146" t="s">
        <v>100</v>
      </c>
    </row>
    <row r="12" spans="2:14" x14ac:dyDescent="0.25">
      <c r="C12" s="135" t="s">
        <v>210</v>
      </c>
      <c r="D12" s="135" t="s">
        <v>0</v>
      </c>
      <c r="E12" s="135" t="s">
        <v>1</v>
      </c>
      <c r="F12" s="135" t="s">
        <v>2</v>
      </c>
      <c r="G12" s="135" t="s">
        <v>3</v>
      </c>
      <c r="H12" s="135" t="s">
        <v>4</v>
      </c>
      <c r="I12" s="135" t="s">
        <v>5</v>
      </c>
      <c r="J12" s="135" t="s">
        <v>6</v>
      </c>
      <c r="K12" s="135" t="s">
        <v>7</v>
      </c>
      <c r="L12" s="135" t="s">
        <v>8</v>
      </c>
      <c r="M12" s="135" t="s">
        <v>9</v>
      </c>
    </row>
    <row r="13" spans="2:14" x14ac:dyDescent="0.25">
      <c r="B13" s="53" t="s">
        <v>62</v>
      </c>
      <c r="C13" s="56">
        <v>0</v>
      </c>
      <c r="D13" s="94">
        <f>'Market Projection'!D26</f>
        <v>475300</v>
      </c>
      <c r="E13" s="94">
        <f>'Market Projection'!E26</f>
        <v>480053</v>
      </c>
      <c r="F13" s="94">
        <f>'Market Projection'!F26</f>
        <v>484853.52999999997</v>
      </c>
      <c r="G13" s="94">
        <f>'Market Projection'!G26</f>
        <v>489702.06529999996</v>
      </c>
      <c r="H13" s="94">
        <f>'Market Projection'!H26</f>
        <v>494599.08595299994</v>
      </c>
      <c r="I13" s="94">
        <f>'Market Projection'!I26</f>
        <v>499545.07681252994</v>
      </c>
      <c r="J13" s="94">
        <f>'Market Projection'!J26</f>
        <v>504540.52758065524</v>
      </c>
      <c r="K13" s="94">
        <f>'Market Projection'!K26</f>
        <v>509585.93285646179</v>
      </c>
      <c r="L13" s="94">
        <f>'Market Projection'!L26</f>
        <v>514681.79218502645</v>
      </c>
      <c r="M13" s="94">
        <f>'Market Projection'!M26</f>
        <v>519828.6101068767</v>
      </c>
      <c r="N13" s="94"/>
    </row>
    <row r="15" spans="2:14" x14ac:dyDescent="0.25">
      <c r="B15" s="146" t="s">
        <v>34</v>
      </c>
    </row>
    <row r="16" spans="2:14" x14ac:dyDescent="0.25">
      <c r="B16" s="53" t="s">
        <v>23</v>
      </c>
      <c r="C16" s="94">
        <f>'Expense Projection'!D22</f>
        <v>0</v>
      </c>
      <c r="D16" s="94">
        <f>'Expense Projection'!E22</f>
        <v>535144</v>
      </c>
      <c r="E16" s="94">
        <f>'Expense Projection'!F22</f>
        <v>540495.43999999994</v>
      </c>
      <c r="F16" s="94">
        <f>'Expense Projection'!G22</f>
        <v>545900.39439999999</v>
      </c>
      <c r="G16" s="94">
        <f>'Expense Projection'!H22</f>
        <v>551359.3983440001</v>
      </c>
      <c r="H16" s="94">
        <f>'Expense Projection'!I22</f>
        <v>556872.99232744006</v>
      </c>
      <c r="I16" s="94">
        <f>'Expense Projection'!J22</f>
        <v>562441.72225071443</v>
      </c>
      <c r="J16" s="94">
        <f>'Expense Projection'!K22</f>
        <v>568066.13947322161</v>
      </c>
      <c r="K16" s="94">
        <f>'Expense Projection'!L22</f>
        <v>573746.8008679538</v>
      </c>
      <c r="L16" s="94">
        <f>'Expense Projection'!M22</f>
        <v>579484.26887663337</v>
      </c>
      <c r="M16" s="94">
        <f>'Expense Projection'!N22</f>
        <v>585279.11156539968</v>
      </c>
    </row>
    <row r="17" spans="2:13" x14ac:dyDescent="0.25">
      <c r="B17" s="53" t="s">
        <v>26</v>
      </c>
      <c r="C17" s="94">
        <f>'Expense Projection'!D33</f>
        <v>0</v>
      </c>
      <c r="D17" s="94">
        <f>'Expense Projection'!E33</f>
        <v>35200</v>
      </c>
      <c r="E17" s="94">
        <f>'Expense Projection'!F33</f>
        <v>35300</v>
      </c>
      <c r="F17" s="94">
        <f>'Expense Projection'!G33</f>
        <v>35401</v>
      </c>
      <c r="G17" s="94">
        <f>'Expense Projection'!H33</f>
        <v>35503.01</v>
      </c>
      <c r="H17" s="94">
        <f>'Expense Projection'!I33</f>
        <v>35606.040099999998</v>
      </c>
      <c r="I17" s="94">
        <f>'Expense Projection'!J33</f>
        <v>35710.100501000001</v>
      </c>
      <c r="J17" s="94">
        <f>'Expense Projection'!K33</f>
        <v>35815.201506010002</v>
      </c>
      <c r="K17" s="94">
        <f>'Expense Projection'!L33</f>
        <v>35921.353521070101</v>
      </c>
      <c r="L17" s="94">
        <f>'Expense Projection'!M33</f>
        <v>36028.567056280801</v>
      </c>
      <c r="M17" s="94">
        <f>'Expense Projection'!N33</f>
        <v>36136.852726843608</v>
      </c>
    </row>
    <row r="18" spans="2:13" x14ac:dyDescent="0.25">
      <c r="B18" s="53" t="s">
        <v>29</v>
      </c>
      <c r="C18" s="94">
        <f>'Expense Projection'!D42</f>
        <v>8500</v>
      </c>
      <c r="D18" s="94">
        <f>'Expense Projection'!E42</f>
        <v>22500</v>
      </c>
      <c r="E18" s="94">
        <f>'Expense Projection'!F42</f>
        <v>22725</v>
      </c>
      <c r="F18" s="94">
        <f>'Expense Projection'!G42</f>
        <v>22952.25</v>
      </c>
      <c r="G18" s="94">
        <f>'Expense Projection'!H42</f>
        <v>23181.772499999999</v>
      </c>
      <c r="H18" s="94">
        <f>'Expense Projection'!I42</f>
        <v>23413.590225</v>
      </c>
      <c r="I18" s="94">
        <f>'Expense Projection'!J42</f>
        <v>23647.726127250004</v>
      </c>
      <c r="J18" s="94">
        <f>'Expense Projection'!K42</f>
        <v>23884.203388522499</v>
      </c>
      <c r="K18" s="94">
        <f>'Expense Projection'!L42</f>
        <v>24123.045422407726</v>
      </c>
      <c r="L18" s="94">
        <f>'Expense Projection'!M42</f>
        <v>24364.275876631807</v>
      </c>
      <c r="M18" s="94">
        <f>'Expense Projection'!N42</f>
        <v>24607.918635398124</v>
      </c>
    </row>
    <row r="19" spans="2:13" x14ac:dyDescent="0.25"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2:13" x14ac:dyDescent="0.25">
      <c r="B20" s="53" t="s">
        <v>32</v>
      </c>
      <c r="C20" s="147">
        <f t="shared" ref="C20:M20" si="0">SUM(C16:C18)</f>
        <v>8500</v>
      </c>
      <c r="D20" s="147">
        <f t="shared" si="0"/>
        <v>592844</v>
      </c>
      <c r="E20" s="147">
        <f t="shared" si="0"/>
        <v>598520.43999999994</v>
      </c>
      <c r="F20" s="147">
        <f t="shared" si="0"/>
        <v>604253.64439999999</v>
      </c>
      <c r="G20" s="147">
        <f t="shared" si="0"/>
        <v>610044.18084400008</v>
      </c>
      <c r="H20" s="147">
        <f t="shared" si="0"/>
        <v>615892.6226524401</v>
      </c>
      <c r="I20" s="147">
        <f t="shared" si="0"/>
        <v>621799.54887896439</v>
      </c>
      <c r="J20" s="147">
        <f t="shared" si="0"/>
        <v>627765.54436775413</v>
      </c>
      <c r="K20" s="147">
        <f t="shared" si="0"/>
        <v>633791.19981143158</v>
      </c>
      <c r="L20" s="147">
        <f t="shared" si="0"/>
        <v>639877.11180954601</v>
      </c>
      <c r="M20" s="147">
        <f t="shared" si="0"/>
        <v>646023.88292764139</v>
      </c>
    </row>
    <row r="21" spans="2:13" x14ac:dyDescent="0.25">
      <c r="B21" s="53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2:13" x14ac:dyDescent="0.25">
      <c r="B22" s="53" t="s">
        <v>53</v>
      </c>
      <c r="C22" s="94">
        <f>C13-C20</f>
        <v>-8500</v>
      </c>
      <c r="D22" s="94">
        <f t="shared" ref="D22:M22" si="1">D13-D20</f>
        <v>-117544</v>
      </c>
      <c r="E22" s="94">
        <f t="shared" si="1"/>
        <v>-118467.43999999994</v>
      </c>
      <c r="F22" s="94">
        <f t="shared" si="1"/>
        <v>-119400.11440000002</v>
      </c>
      <c r="G22" s="94">
        <f t="shared" si="1"/>
        <v>-120342.11554400012</v>
      </c>
      <c r="H22" s="94">
        <f t="shared" si="1"/>
        <v>-121293.53669944016</v>
      </c>
      <c r="I22" s="94">
        <f t="shared" si="1"/>
        <v>-122254.47206643445</v>
      </c>
      <c r="J22" s="94">
        <f t="shared" si="1"/>
        <v>-123225.0167870989</v>
      </c>
      <c r="K22" s="94">
        <f t="shared" si="1"/>
        <v>-124205.26695496979</v>
      </c>
      <c r="L22" s="94">
        <f t="shared" si="1"/>
        <v>-125195.31962451956</v>
      </c>
      <c r="M22" s="94">
        <f t="shared" si="1"/>
        <v>-126195.27282076469</v>
      </c>
    </row>
    <row r="23" spans="2:13" x14ac:dyDescent="0.25">
      <c r="B23" s="5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2:13" x14ac:dyDescent="0.25">
      <c r="B24" s="53" t="s">
        <v>54</v>
      </c>
      <c r="C24" s="97">
        <f>IF(C22&gt;0, ('Profit &amp; Loss'!$C$9*C22), 0)</f>
        <v>0</v>
      </c>
      <c r="D24" s="97">
        <f>IF(D22&gt;0, ('Profit &amp; Loss'!$C$9*D22), 0)</f>
        <v>0</v>
      </c>
      <c r="E24" s="97">
        <f>IF(E22&gt;0, ('Profit &amp; Loss'!$C$9*E22), 0)</f>
        <v>0</v>
      </c>
      <c r="F24" s="97">
        <f>IF(F22&gt;0, ('Profit &amp; Loss'!$C$9*F22), 0)</f>
        <v>0</v>
      </c>
      <c r="G24" s="97">
        <f>IF(G22&gt;0, ('Profit &amp; Loss'!$C$9*G22), 0)</f>
        <v>0</v>
      </c>
      <c r="H24" s="97">
        <f>IF(H22&gt;0, ('Profit &amp; Loss'!$C$9*H22), 0)</f>
        <v>0</v>
      </c>
      <c r="I24" s="97">
        <f>IF(I22&gt;0, ('Profit &amp; Loss'!$C$9*I22), 0)</f>
        <v>0</v>
      </c>
      <c r="J24" s="97">
        <f>IF(J22&gt;0, ('Profit &amp; Loss'!$C$9*J22), 0)</f>
        <v>0</v>
      </c>
      <c r="K24" s="97">
        <f>IF(K22&gt;0, ('Profit &amp; Loss'!$C$9*K22), 0)</f>
        <v>0</v>
      </c>
      <c r="L24" s="97">
        <f>IF(L22&gt;0, ('Profit &amp; Loss'!$C$9*L22), 0)</f>
        <v>0</v>
      </c>
      <c r="M24" s="97">
        <f>IF(M22&gt;0, ('Profit &amp; Loss'!$C$9*M22), 0)</f>
        <v>0</v>
      </c>
    </row>
    <row r="25" spans="2:13" x14ac:dyDescent="0.25">
      <c r="B25" s="5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2:13" x14ac:dyDescent="0.25">
      <c r="B26" s="53" t="s">
        <v>232</v>
      </c>
      <c r="C26" s="148">
        <f t="shared" ref="C26:M26" si="2">+C22-C24</f>
        <v>-8500</v>
      </c>
      <c r="D26" s="148">
        <f t="shared" si="2"/>
        <v>-117544</v>
      </c>
      <c r="E26" s="148">
        <f t="shared" si="2"/>
        <v>-118467.43999999994</v>
      </c>
      <c r="F26" s="148">
        <f t="shared" si="2"/>
        <v>-119400.11440000002</v>
      </c>
      <c r="G26" s="148">
        <f t="shared" si="2"/>
        <v>-120342.11554400012</v>
      </c>
      <c r="H26" s="148">
        <f t="shared" si="2"/>
        <v>-121293.53669944016</v>
      </c>
      <c r="I26" s="148">
        <f t="shared" si="2"/>
        <v>-122254.47206643445</v>
      </c>
      <c r="J26" s="148">
        <f t="shared" si="2"/>
        <v>-123225.0167870989</v>
      </c>
      <c r="K26" s="148">
        <f t="shared" si="2"/>
        <v>-124205.26695496979</v>
      </c>
      <c r="L26" s="148">
        <f t="shared" si="2"/>
        <v>-125195.31962451956</v>
      </c>
      <c r="M26" s="148">
        <f t="shared" si="2"/>
        <v>-126195.27282076469</v>
      </c>
    </row>
    <row r="28" spans="2:13" x14ac:dyDescent="0.25">
      <c r="B28" s="54" t="s">
        <v>233</v>
      </c>
    </row>
  </sheetData>
  <sheetProtection password="E114" sheet="1" objects="1" scenarios="1" selectLockedCells="1"/>
  <mergeCells count="1">
    <mergeCell ref="B8:D8"/>
  </mergeCells>
  <phoneticPr fontId="0" type="noConversion"/>
  <hyperlinks>
    <hyperlink ref="B3" location="'Production Assumptions'!A1" display="Production Assumptions" xr:uid="{00000000-0004-0000-0700-000000000000}"/>
    <hyperlink ref="B4" location="'Personnel Expenses'!A1" display="Personnel Expenses" xr:uid="{00000000-0004-0000-0700-000001000000}"/>
    <hyperlink ref="B5" location="'Market Projection'!A1" display="Market Projection" xr:uid="{00000000-0004-0000-0700-000002000000}"/>
    <hyperlink ref="B6" location="'Expense Projection'!A1" display="Expense Projection" xr:uid="{00000000-0004-0000-0700-000003000000}"/>
    <hyperlink ref="B7" location="'Return On Investment'!A1" display="Return on Investment" xr:uid="{00000000-0004-0000-0700-000004000000}"/>
  </hyperlink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9"/>
  <sheetViews>
    <sheetView showGridLines="0" showRowColHeaders="0" workbookViewId="0">
      <selection activeCell="B3" sqref="B3"/>
    </sheetView>
  </sheetViews>
  <sheetFormatPr defaultColWidth="9.109375" defaultRowHeight="13.2" x14ac:dyDescent="0.25"/>
  <cols>
    <col min="1" max="1" width="5.6640625" style="41" customWidth="1"/>
    <col min="2" max="2" width="22" style="41" bestFit="1" customWidth="1"/>
    <col min="3" max="14" width="12.6640625" style="41" customWidth="1"/>
    <col min="15" max="16384" width="9.109375" style="41"/>
  </cols>
  <sheetData>
    <row r="1" spans="1:14" x14ac:dyDescent="0.25">
      <c r="A1" s="141"/>
      <c r="B1" s="53" t="s">
        <v>203</v>
      </c>
    </row>
    <row r="2" spans="1:14" x14ac:dyDescent="0.25">
      <c r="B2" s="50" t="s">
        <v>199</v>
      </c>
    </row>
    <row r="3" spans="1:14" x14ac:dyDescent="0.25">
      <c r="B3" s="59" t="s">
        <v>193</v>
      </c>
    </row>
    <row r="4" spans="1:14" x14ac:dyDescent="0.25">
      <c r="B4" s="59" t="s">
        <v>194</v>
      </c>
    </row>
    <row r="5" spans="1:14" x14ac:dyDescent="0.25">
      <c r="B5" s="59" t="s">
        <v>195</v>
      </c>
    </row>
    <row r="6" spans="1:14" x14ac:dyDescent="0.25">
      <c r="B6" s="59" t="s">
        <v>196</v>
      </c>
    </row>
    <row r="7" spans="1:14" x14ac:dyDescent="0.25">
      <c r="B7" s="59" t="s">
        <v>197</v>
      </c>
    </row>
    <row r="8" spans="1:14" x14ac:dyDescent="0.25">
      <c r="B8" s="53"/>
      <c r="C8" s="149"/>
    </row>
    <row r="9" spans="1:14" x14ac:dyDescent="0.25">
      <c r="B9" s="53" t="s">
        <v>58</v>
      </c>
      <c r="C9" s="149"/>
    </row>
    <row r="10" spans="1:14" x14ac:dyDescent="0.25">
      <c r="B10" s="53"/>
      <c r="C10" s="149"/>
    </row>
    <row r="11" spans="1:14" x14ac:dyDescent="0.25">
      <c r="B11" s="53" t="s">
        <v>111</v>
      </c>
      <c r="C11" s="153">
        <v>0.12</v>
      </c>
      <c r="N11" s="45"/>
    </row>
    <row r="13" spans="1:14" x14ac:dyDescent="0.25">
      <c r="B13" s="95" t="s">
        <v>42</v>
      </c>
      <c r="D13" s="95" t="s">
        <v>210</v>
      </c>
      <c r="E13" s="95">
        <v>1</v>
      </c>
      <c r="F13" s="95">
        <v>2</v>
      </c>
      <c r="G13" s="95">
        <v>3</v>
      </c>
      <c r="H13" s="95">
        <v>4</v>
      </c>
      <c r="I13" s="95">
        <v>5</v>
      </c>
      <c r="J13" s="95">
        <v>6</v>
      </c>
      <c r="K13" s="95">
        <v>7</v>
      </c>
      <c r="L13" s="95">
        <v>8</v>
      </c>
      <c r="M13" s="95">
        <v>9</v>
      </c>
      <c r="N13" s="95">
        <v>10</v>
      </c>
    </row>
    <row r="14" spans="1:14" x14ac:dyDescent="0.25">
      <c r="B14" s="53" t="s">
        <v>35</v>
      </c>
      <c r="D14" s="94"/>
      <c r="E14" s="94">
        <f>'Market Projection'!D26</f>
        <v>475300</v>
      </c>
      <c r="F14" s="94">
        <f>'Market Projection'!E26</f>
        <v>480053</v>
      </c>
      <c r="G14" s="94">
        <f>'Market Projection'!F26</f>
        <v>484853.52999999997</v>
      </c>
      <c r="H14" s="94">
        <f>'Market Projection'!G26</f>
        <v>489702.06529999996</v>
      </c>
      <c r="I14" s="94">
        <f>'Market Projection'!H26</f>
        <v>494599.08595299994</v>
      </c>
      <c r="J14" s="94">
        <f>'Market Projection'!I26</f>
        <v>499545.07681252994</v>
      </c>
      <c r="K14" s="94">
        <f>'Market Projection'!J26</f>
        <v>504540.52758065524</v>
      </c>
      <c r="L14" s="94">
        <f>'Market Projection'!K26</f>
        <v>509585.93285646179</v>
      </c>
      <c r="M14" s="94">
        <f>'Market Projection'!L26</f>
        <v>514681.79218502645</v>
      </c>
      <c r="N14" s="94">
        <f>'Market Projection'!M26</f>
        <v>519828.6101068767</v>
      </c>
    </row>
    <row r="15" spans="1:14" x14ac:dyDescent="0.25">
      <c r="B15" s="53" t="s">
        <v>36</v>
      </c>
      <c r="D15" s="41">
        <v>1</v>
      </c>
      <c r="E15" s="41">
        <f t="shared" ref="E15:N15" si="0">1/((1+$C$11)^E13)</f>
        <v>0.89285714285714279</v>
      </c>
      <c r="F15" s="41">
        <f t="shared" si="0"/>
        <v>0.79719387755102034</v>
      </c>
      <c r="G15" s="41">
        <f t="shared" si="0"/>
        <v>0.71178024781341087</v>
      </c>
      <c r="H15" s="41">
        <f t="shared" si="0"/>
        <v>0.63551807840483121</v>
      </c>
      <c r="I15" s="41">
        <f t="shared" si="0"/>
        <v>0.56742685571859919</v>
      </c>
      <c r="J15" s="41">
        <f t="shared" si="0"/>
        <v>0.50663112117732068</v>
      </c>
      <c r="K15" s="41">
        <f t="shared" si="0"/>
        <v>0.45234921533689343</v>
      </c>
      <c r="L15" s="41">
        <f t="shared" si="0"/>
        <v>0.4038832279793691</v>
      </c>
      <c r="M15" s="41">
        <f t="shared" si="0"/>
        <v>0.36061002498157957</v>
      </c>
      <c r="N15" s="41">
        <f t="shared" si="0"/>
        <v>0.32197323659069599</v>
      </c>
    </row>
    <row r="16" spans="1:14" x14ac:dyDescent="0.25">
      <c r="B16" s="53" t="s">
        <v>37</v>
      </c>
      <c r="C16" s="94"/>
      <c r="D16" s="94">
        <f t="shared" ref="D16:N16" si="1">D14*D15</f>
        <v>0</v>
      </c>
      <c r="E16" s="94">
        <f t="shared" si="1"/>
        <v>424374.99999999994</v>
      </c>
      <c r="F16" s="94">
        <f t="shared" si="1"/>
        <v>382695.31249999994</v>
      </c>
      <c r="G16" s="94">
        <f t="shared" si="1"/>
        <v>345109.16573660704</v>
      </c>
      <c r="H16" s="94">
        <f t="shared" si="1"/>
        <v>311214.51553033316</v>
      </c>
      <c r="I16" s="94">
        <f t="shared" si="1"/>
        <v>280648.80418360396</v>
      </c>
      <c r="J16" s="94">
        <f t="shared" si="1"/>
        <v>253085.08234414281</v>
      </c>
      <c r="K16" s="94">
        <f t="shared" si="1"/>
        <v>228228.51175677162</v>
      </c>
      <c r="L16" s="94">
        <f t="shared" si="1"/>
        <v>205813.21149494583</v>
      </c>
      <c r="M16" s="94">
        <f t="shared" si="1"/>
        <v>185599.41393740653</v>
      </c>
      <c r="N16" s="94">
        <f t="shared" si="1"/>
        <v>167370.90006855407</v>
      </c>
    </row>
    <row r="18" spans="2:14" x14ac:dyDescent="0.25">
      <c r="B18" s="53" t="s">
        <v>38</v>
      </c>
      <c r="D18" s="94">
        <f>'Expense Projection'!D44</f>
        <v>8500</v>
      </c>
      <c r="E18" s="94">
        <f>'Expense Projection'!E44</f>
        <v>592844</v>
      </c>
      <c r="F18" s="94">
        <f>'Expense Projection'!E44</f>
        <v>592844</v>
      </c>
      <c r="G18" s="94">
        <f>'Expense Projection'!F44</f>
        <v>598520.43999999994</v>
      </c>
      <c r="H18" s="94">
        <f>'Expense Projection'!G44</f>
        <v>604253.64439999999</v>
      </c>
      <c r="I18" s="94">
        <f>'Expense Projection'!H44</f>
        <v>610044.18084400008</v>
      </c>
      <c r="J18" s="94">
        <f>'Expense Projection'!I44</f>
        <v>615892.6226524401</v>
      </c>
      <c r="K18" s="94">
        <f>'Expense Projection'!J44</f>
        <v>621799.54887896439</v>
      </c>
      <c r="L18" s="94">
        <f>'Expense Projection'!K44</f>
        <v>627765.54436775413</v>
      </c>
      <c r="M18" s="94">
        <f>'Expense Projection'!L44</f>
        <v>633791.19981143158</v>
      </c>
      <c r="N18" s="94">
        <f>'Expense Projection'!M44</f>
        <v>639877.11180954601</v>
      </c>
    </row>
    <row r="19" spans="2:14" x14ac:dyDescent="0.25">
      <c r="B19" s="53" t="s">
        <v>36</v>
      </c>
      <c r="D19" s="41">
        <v>1</v>
      </c>
      <c r="E19" s="41">
        <f t="shared" ref="E19:N19" si="2">E15</f>
        <v>0.89285714285714279</v>
      </c>
      <c r="F19" s="41">
        <f t="shared" si="2"/>
        <v>0.79719387755102034</v>
      </c>
      <c r="G19" s="41">
        <f t="shared" si="2"/>
        <v>0.71178024781341087</v>
      </c>
      <c r="H19" s="41">
        <f t="shared" si="2"/>
        <v>0.63551807840483121</v>
      </c>
      <c r="I19" s="41">
        <f t="shared" si="2"/>
        <v>0.56742685571859919</v>
      </c>
      <c r="J19" s="41">
        <f t="shared" si="2"/>
        <v>0.50663112117732068</v>
      </c>
      <c r="K19" s="41">
        <f t="shared" si="2"/>
        <v>0.45234921533689343</v>
      </c>
      <c r="L19" s="41">
        <f t="shared" si="2"/>
        <v>0.4038832279793691</v>
      </c>
      <c r="M19" s="41">
        <f t="shared" si="2"/>
        <v>0.36061002498157957</v>
      </c>
      <c r="N19" s="41">
        <f t="shared" si="2"/>
        <v>0.32197323659069599</v>
      </c>
    </row>
    <row r="20" spans="2:14" x14ac:dyDescent="0.25">
      <c r="B20" s="53" t="s">
        <v>39</v>
      </c>
      <c r="C20" s="94"/>
      <c r="D20" s="94">
        <f>D18*D19</f>
        <v>8500</v>
      </c>
      <c r="E20" s="94">
        <f t="shared" ref="E20:N20" si="3">E18*E19</f>
        <v>529325</v>
      </c>
      <c r="F20" s="94">
        <f t="shared" si="3"/>
        <v>472611.6071428571</v>
      </c>
      <c r="G20" s="94">
        <f t="shared" si="3"/>
        <v>426015.02710459166</v>
      </c>
      <c r="H20" s="94">
        <f t="shared" si="3"/>
        <v>384014.11495820421</v>
      </c>
      <c r="I20" s="94">
        <f t="shared" si="3"/>
        <v>346155.45138573943</v>
      </c>
      <c r="J20" s="94">
        <f t="shared" si="3"/>
        <v>312030.36993924621</v>
      </c>
      <c r="K20" s="94">
        <f t="shared" si="3"/>
        <v>281270.53803223383</v>
      </c>
      <c r="L20" s="94">
        <f t="shared" si="3"/>
        <v>253543.9744734744</v>
      </c>
      <c r="M20" s="94">
        <f t="shared" si="3"/>
        <v>228551.46039710563</v>
      </c>
      <c r="N20" s="94">
        <f t="shared" si="3"/>
        <v>206023.30470962619</v>
      </c>
    </row>
    <row r="22" spans="2:14" x14ac:dyDescent="0.25">
      <c r="B22" s="53" t="s">
        <v>40</v>
      </c>
      <c r="D22" s="94">
        <f>D14-D18</f>
        <v>-8500</v>
      </c>
      <c r="E22" s="94">
        <f t="shared" ref="E22:N22" si="4">E14-E18</f>
        <v>-117544</v>
      </c>
      <c r="F22" s="94">
        <f t="shared" si="4"/>
        <v>-112791</v>
      </c>
      <c r="G22" s="94">
        <f t="shared" si="4"/>
        <v>-113666.90999999997</v>
      </c>
      <c r="H22" s="94">
        <f t="shared" si="4"/>
        <v>-114551.57910000003</v>
      </c>
      <c r="I22" s="94">
        <f t="shared" si="4"/>
        <v>-115445.09489100013</v>
      </c>
      <c r="J22" s="94">
        <f t="shared" si="4"/>
        <v>-116347.54583991016</v>
      </c>
      <c r="K22" s="94">
        <f t="shared" si="4"/>
        <v>-117259.02129830915</v>
      </c>
      <c r="L22" s="94">
        <f t="shared" si="4"/>
        <v>-118179.61151129234</v>
      </c>
      <c r="M22" s="94">
        <f t="shared" si="4"/>
        <v>-119109.40762640513</v>
      </c>
      <c r="N22" s="94">
        <f t="shared" si="4"/>
        <v>-120048.50170266931</v>
      </c>
    </row>
    <row r="23" spans="2:14" x14ac:dyDescent="0.25">
      <c r="B23" s="53" t="s">
        <v>51</v>
      </c>
      <c r="D23" s="94">
        <f t="shared" ref="D23:N23" si="5">+D16-D20</f>
        <v>-8500</v>
      </c>
      <c r="E23" s="94">
        <f t="shared" si="5"/>
        <v>-104950.00000000006</v>
      </c>
      <c r="F23" s="94">
        <f t="shared" si="5"/>
        <v>-89916.294642857159</v>
      </c>
      <c r="G23" s="94">
        <f t="shared" si="5"/>
        <v>-80905.861367984617</v>
      </c>
      <c r="H23" s="94">
        <f t="shared" si="5"/>
        <v>-72799.599427871057</v>
      </c>
      <c r="I23" s="94">
        <f t="shared" si="5"/>
        <v>-65506.647202135471</v>
      </c>
      <c r="J23" s="94">
        <f t="shared" si="5"/>
        <v>-58945.287595103408</v>
      </c>
      <c r="K23" s="94">
        <f t="shared" si="5"/>
        <v>-53042.026275462209</v>
      </c>
      <c r="L23" s="94">
        <f t="shared" si="5"/>
        <v>-47730.762978528568</v>
      </c>
      <c r="M23" s="94">
        <f t="shared" si="5"/>
        <v>-42952.046459699108</v>
      </c>
      <c r="N23" s="94">
        <f t="shared" si="5"/>
        <v>-38652.40464107212</v>
      </c>
    </row>
    <row r="25" spans="2:14" x14ac:dyDescent="0.25">
      <c r="B25" s="53" t="s">
        <v>49</v>
      </c>
      <c r="C25" s="56">
        <f>SUM(D16:N16)</f>
        <v>2784139.917552365</v>
      </c>
    </row>
    <row r="26" spans="2:14" x14ac:dyDescent="0.25">
      <c r="B26" s="53" t="s">
        <v>50</v>
      </c>
      <c r="C26" s="94">
        <f>SUM(D20:N20)</f>
        <v>3448040.8481430789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7" spans="2:14" x14ac:dyDescent="0.25">
      <c r="B27" s="53" t="s">
        <v>41</v>
      </c>
      <c r="C27" s="150">
        <f>C25-C26</f>
        <v>-663900.93059071386</v>
      </c>
    </row>
    <row r="28" spans="2:14" x14ac:dyDescent="0.25">
      <c r="B28" s="53" t="s">
        <v>59</v>
      </c>
      <c r="C28" s="151">
        <f>C25/C26</f>
        <v>0.80745560745074885</v>
      </c>
    </row>
    <row r="29" spans="2:14" x14ac:dyDescent="0.25">
      <c r="B29" s="53"/>
      <c r="C29" s="152"/>
    </row>
  </sheetData>
  <sheetProtection password="E114" sheet="1" objects="1" scenarios="1" selectLockedCells="1"/>
  <phoneticPr fontId="0" type="noConversion"/>
  <hyperlinks>
    <hyperlink ref="B3" location="'Production Assumptions'!A1" display="Production Assumptions" xr:uid="{00000000-0004-0000-0800-000000000000}"/>
    <hyperlink ref="B4" location="'Personnel Expenses'!A1" display="Personnel Expenses" xr:uid="{00000000-0004-0000-0800-000001000000}"/>
    <hyperlink ref="B5" location="'Market Projection'!A1" display="Market Projection" xr:uid="{00000000-0004-0000-0800-000002000000}"/>
    <hyperlink ref="B6" location="'Expense Projection'!A1" display="Expense Projection" xr:uid="{00000000-0004-0000-0800-000003000000}"/>
    <hyperlink ref="B7" location="'Profit &amp; Loss'!A1" display="Profit/Loss Summary" xr:uid="{00000000-0004-0000-0800-000004000000}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Introduction</vt:lpstr>
      <vt:lpstr>Production Assumptions</vt:lpstr>
      <vt:lpstr>Personnel Expenses</vt:lpstr>
      <vt:lpstr>Market Projection</vt:lpstr>
      <vt:lpstr>Operating Loan</vt:lpstr>
      <vt:lpstr>Utilities Estimates</vt:lpstr>
      <vt:lpstr>Expense Projection</vt:lpstr>
      <vt:lpstr>Profit &amp; Loss</vt:lpstr>
      <vt:lpstr>Return On Investment</vt:lpstr>
      <vt:lpstr>Onfarm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cathys</cp:lastModifiedBy>
  <dcterms:created xsi:type="dcterms:W3CDTF">2003-07-24T15:07:28Z</dcterms:created>
  <dcterms:modified xsi:type="dcterms:W3CDTF">2023-01-05T17:17:18Z</dcterms:modified>
</cp:coreProperties>
</file>